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V+WJyn4feywkNK3aSBPtM5kqT2gAfmBsTtzN/vtH/7Phn3FOKGBu1OVxsSYfqzc1cSi8yMEHxi3Ewuty2ufRw==" workbookSaltValue="pSlY3fyEPr9Jh82VRm3L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7" i="8" l="1"/>
  <c r="R25" i="14"/>
  <c r="BG16" i="1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<sst xmlns="http://schemas.openxmlformats.org/spreadsheetml/2006/main" count="2682" uniqueCount="1193">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</sst>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TbFPHqwsTAFwLXhWslqikv6H2W5X5g88BvcQvHeX72bq9Pr4JDhLyf6omvA/rxCFgz5ZFsM9bZSIcQN0Ms5rg==" saltValue="9+Ga6qWZT9ITKYlz6c2h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15.592233009708739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73</v>
      </c>
      <c r="D17" s="239">
        <f>IF(ISNUMBER(IF(D_I="SI",Datos!I17,Datos!I17+Datos!AC17)),IF(D_I="SI",Datos!I17,Datos!I17+Datos!AC17)," - ")</f>
        <v>71</v>
      </c>
      <c r="E17" s="240">
        <f>IF(ISNUMBER(IF(D_I="SI",Datos!J17,Datos!J17+Datos!AD17)),IF(D_I="SI",Datos!J17,Datos!J17+Datos!AD17)," - ")</f>
        <v>115</v>
      </c>
      <c r="F17" s="240">
        <f>IF(ISNUMBER(IF(D_I="SI",Datos!K17,Datos!K17+Datos!AE17)),IF(D_I="SI",Datos!K17,Datos!K17+Datos!AE17)," - ")</f>
        <v>106</v>
      </c>
      <c r="G17" s="1390" t="str">
        <f>IF(Datos!E17&lt;&gt;"",Datos!E17,Datos!D17)</f>
        <v>04</v>
      </c>
      <c r="H17" s="241">
        <f>IF(ISNUMBER(IF(D_I="SI",Datos!L17,Datos!L17+Datos!AF17)),IF(D_I="SI",Datos!L17,Datos!L17+Datos!AF17)," - ")</f>
        <v>82</v>
      </c>
      <c r="I17" s="1400" t="str">
        <f>IF(ISNUMBER(Datos!AS17/Datos!BM17),Datos!AS17/Datos!BM17," - ")</f>
        <v xml:space="preserve"> - </v>
      </c>
      <c r="J17" s="1401">
        <f>IF(ISNUMBER(Datos!BY17/Datos!CN17),Datos!BY17/Datos!CN17," - ")</f>
        <v>0</v>
      </c>
      <c r="K17" s="244">
        <f t="shared" si="3"/>
        <v>0.12328767123287671</v>
      </c>
      <c r="L17" s="1402">
        <f>IF(ISNUMBER(NºAsuntos!I17/NºAsuntos!G17),(NºAsuntos!I17/NºAsuntos!G17)*11," - ")</f>
        <v>8.5094339622641506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3</v>
      </c>
      <c r="F18" s="240">
        <f>IF(ISNUMBER(IF(D_I="SI",Datos!K18,Datos!K18+Datos!AE18)),IF(D_I="SI",Datos!K18,Datos!K18+Datos!AE18)," - ")</f>
        <v>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v>
      </c>
      <c r="D23" s="1407">
        <f>SUBTOTAL(9,D16:D22)</f>
        <v>72</v>
      </c>
      <c r="E23" s="1408">
        <f>SUBTOTAL(9,E16:E22)</f>
        <v>118</v>
      </c>
      <c r="F23" s="1408">
        <f>SUBTOTAL(9,F16:F22)</f>
        <v>109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v>
      </c>
      <c r="D31" s="1435">
        <f>SUBTOTAL(9,D9:D30)</f>
        <v>72</v>
      </c>
      <c r="E31" s="1436">
        <f>SUBTOTAL(9,E9:E30)</f>
        <v>118</v>
      </c>
      <c r="F31" s="1436">
        <f>SUBTOTAL(9,F9:F30)</f>
        <v>109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YydAVt2ZaSzx9f4bV+EuRDWMT96BQM/3jyhQNYdnTsN14SNIDxKug+hm/AXZbrNPfOsK5SeKxO8rGJmOIScUQ==" saltValue="rgthZSRiZSkfOgVNratM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Gh32dw6iqV8s4u7zGO7hpxu753mUxG9DUEq15d/Eey92hna4fINC0l9QuhhQj9s3F+ErA5O4hDsrAWRB/zZNQ==" saltValue="Kxk+NegBZYBLpymLXjno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v>
      </c>
      <c r="J12" s="196">
        <v>102</v>
      </c>
      <c r="K12" s="196">
        <v>95</v>
      </c>
      <c r="L12" s="196">
        <v>145</v>
      </c>
      <c r="M12" s="196">
        <v>23</v>
      </c>
      <c r="N12" s="196">
        <v>42</v>
      </c>
      <c r="O12" s="194">
        <v>36</v>
      </c>
      <c r="P12" s="196">
        <v>18</v>
      </c>
      <c r="Q12" s="196">
        <v>6</v>
      </c>
      <c r="R12" s="196">
        <v>430</v>
      </c>
      <c r="S12" s="196">
        <v>98</v>
      </c>
      <c r="T12" s="196">
        <v>70</v>
      </c>
      <c r="U12" s="196">
        <v>61</v>
      </c>
      <c r="V12" s="196">
        <v>108</v>
      </c>
      <c r="W12" s="196">
        <v>16</v>
      </c>
      <c r="X12" s="202">
        <v>30</v>
      </c>
      <c r="Y12" s="204">
        <v>1</v>
      </c>
      <c r="Z12" s="194">
        <v>8</v>
      </c>
      <c r="AA12" s="194">
        <v>8</v>
      </c>
      <c r="AB12" s="194">
        <v>1</v>
      </c>
      <c r="AC12" s="196">
        <v>0</v>
      </c>
      <c r="AD12" s="196">
        <v>0</v>
      </c>
      <c r="AE12" s="196">
        <v>0</v>
      </c>
      <c r="AF12" s="202">
        <v>0</v>
      </c>
      <c r="AG12" s="215">
        <v>2</v>
      </c>
      <c r="AH12" s="196">
        <v>3</v>
      </c>
      <c r="AI12" s="196">
        <v>4</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100</v>
      </c>
      <c r="AZ12" s="137">
        <f t="shared" si="1"/>
        <v>73</v>
      </c>
      <c r="BA12" s="137">
        <f t="shared" si="1"/>
        <v>65</v>
      </c>
      <c r="BB12" s="137">
        <f t="shared" si="1"/>
        <v>109</v>
      </c>
      <c r="BC12" s="135">
        <f>IF(ISNUMBER(X12),X12," - ")</f>
        <v>30</v>
      </c>
      <c r="BD12" s="136">
        <f t="shared" si="2"/>
        <v>0.8904109589041096</v>
      </c>
      <c r="BE12" s="137">
        <f t="shared" si="3"/>
        <v>1.676923076923077</v>
      </c>
      <c r="BF12" s="137">
        <f t="shared" si="4"/>
        <v>0.46153846153846156</v>
      </c>
      <c r="BG12" s="209">
        <f t="shared" si="5"/>
        <v>2.6615384615384614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v>
      </c>
      <c r="J14" s="197">
        <f t="shared" si="7"/>
        <v>102</v>
      </c>
      <c r="K14" s="197">
        <f t="shared" si="7"/>
        <v>95</v>
      </c>
      <c r="L14" s="197">
        <f t="shared" si="7"/>
        <v>145</v>
      </c>
      <c r="M14" s="197">
        <f t="shared" si="7"/>
        <v>23</v>
      </c>
      <c r="N14" s="197">
        <f t="shared" si="7"/>
        <v>42</v>
      </c>
      <c r="O14" s="197">
        <f t="shared" si="7"/>
        <v>36</v>
      </c>
      <c r="P14" s="197">
        <f t="shared" si="7"/>
        <v>18</v>
      </c>
      <c r="Q14" s="197">
        <f t="shared" si="7"/>
        <v>6</v>
      </c>
      <c r="R14" s="197">
        <f t="shared" si="7"/>
        <v>430</v>
      </c>
      <c r="S14" s="197">
        <f t="shared" si="7"/>
        <v>98</v>
      </c>
      <c r="T14" s="197">
        <f t="shared" si="7"/>
        <v>70</v>
      </c>
      <c r="U14" s="197">
        <f t="shared" si="7"/>
        <v>61</v>
      </c>
      <c r="V14" s="197">
        <f t="shared" si="7"/>
        <v>108</v>
      </c>
      <c r="W14" s="197">
        <f t="shared" si="7"/>
        <v>16</v>
      </c>
      <c r="X14" s="197">
        <f t="shared" si="7"/>
        <v>30</v>
      </c>
      <c r="Y14" s="197">
        <f t="shared" si="7"/>
        <v>1</v>
      </c>
      <c r="Z14" s="197">
        <f t="shared" si="7"/>
        <v>8</v>
      </c>
      <c r="AA14" s="197">
        <f t="shared" si="7"/>
        <v>8</v>
      </c>
      <c r="AB14" s="197">
        <f t="shared" si="7"/>
        <v>1</v>
      </c>
      <c r="AC14" s="197">
        <f t="shared" si="7"/>
        <v>0</v>
      </c>
      <c r="AD14" s="197">
        <f t="shared" si="7"/>
        <v>0</v>
      </c>
      <c r="AE14" s="197">
        <f t="shared" si="7"/>
        <v>0</v>
      </c>
      <c r="AF14" s="197">
        <f>SUBTOTAL(9,AF9:AF13)</f>
        <v>0</v>
      </c>
      <c r="AG14" s="197">
        <f t="shared" ref="AG14:AT14" si="8">SUBTOTAL(9,AG8:AG13)</f>
        <v>2</v>
      </c>
      <c r="AH14" s="197">
        <f t="shared" si="8"/>
        <v>3</v>
      </c>
      <c r="AI14" s="197">
        <f t="shared" si="8"/>
        <v>4</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100</v>
      </c>
      <c r="AZ14" s="197">
        <f>SUBTOTAL(9,AZ8:AZ13)</f>
        <v>73</v>
      </c>
      <c r="BA14" s="197">
        <f>SUBTOTAL(9,BA8:BA13)</f>
        <v>65</v>
      </c>
      <c r="BB14" s="197">
        <f>SUBTOTAL(9,BB8:BB13)</f>
        <v>109</v>
      </c>
      <c r="BC14" s="197">
        <f>SUBTOTAL(9,BC8:BC13)</f>
        <v>30</v>
      </c>
      <c r="BD14" s="219">
        <f>IF(ISNUMBER(BA14/AZ14),BA14/AZ14," - ")</f>
        <v>0.8904109589041096</v>
      </c>
      <c r="BE14" s="220">
        <f>IF(ISNUMBER(BB14/BA14),BB14/BA14, " - ")</f>
        <v>1.676923076923077</v>
      </c>
      <c r="BF14" s="220">
        <f>IF(ISNUMBER(BC14/BA14),BC14/BA14, " - ")</f>
        <v>0.46153846153846156</v>
      </c>
      <c r="BG14" s="221">
        <f>IF(ISNUMBER((AY14+AZ14)/BA14),(AY14+AZ14)/BA14," - ")</f>
        <v>2.6615384615384614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v>
      </c>
      <c r="J17" s="196">
        <v>115</v>
      </c>
      <c r="K17" s="196">
        <v>106</v>
      </c>
      <c r="L17" s="196">
        <v>82</v>
      </c>
      <c r="M17" s="196">
        <v>6</v>
      </c>
      <c r="N17" s="196">
        <v>83</v>
      </c>
      <c r="O17" s="194">
        <v>4</v>
      </c>
      <c r="P17" s="196">
        <v>2</v>
      </c>
      <c r="Q17" s="196">
        <v>4</v>
      </c>
      <c r="R17" s="196">
        <v>6</v>
      </c>
      <c r="S17" s="196">
        <v>62</v>
      </c>
      <c r="T17" s="196">
        <v>129</v>
      </c>
      <c r="U17" s="196">
        <v>109</v>
      </c>
      <c r="V17" s="196">
        <v>82</v>
      </c>
      <c r="W17" s="196">
        <v>11</v>
      </c>
      <c r="X17" s="202">
        <v>80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62</v>
      </c>
      <c r="AZ17" s="137">
        <f t="shared" si="10"/>
        <v>129</v>
      </c>
      <c r="BA17" s="137">
        <f t="shared" si="10"/>
        <v>109</v>
      </c>
      <c r="BB17" s="137">
        <f t="shared" si="10"/>
        <v>82</v>
      </c>
      <c r="BC17" s="135">
        <f>IF(ISNUMBER(W17),W17," - ")</f>
        <v>11</v>
      </c>
      <c r="BD17" s="136">
        <f t="shared" ref="BD17:BD22" si="12">IF(ISNUMBER(BA17/AZ17),BA17/AZ17," - ")</f>
        <v>0.84496124031007747</v>
      </c>
      <c r="BE17" s="137">
        <f t="shared" ref="BE17:BE22" si="13">IF(ISNUMBER(BB17/BA17),BB17/BA17, " - ")</f>
        <v>0.75229357798165142</v>
      </c>
      <c r="BF17" s="137">
        <f t="shared" ref="BF17:BF22" si="14">IF(ISNUMBER(BC17/BA17),BC17/BA17, " - ")</f>
        <v>0.10091743119266056</v>
      </c>
      <c r="BG17" s="209">
        <f t="shared" si="11"/>
        <v>1.7522935779816513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3</v>
      </c>
      <c r="K18" s="196">
        <v>3</v>
      </c>
      <c r="L18" s="196">
        <v>1</v>
      </c>
      <c r="M18" s="196">
        <v>1</v>
      </c>
      <c r="N18" s="196">
        <v>2</v>
      </c>
      <c r="O18" s="196">
        <v>0</v>
      </c>
      <c r="P18" s="196">
        <v>0</v>
      </c>
      <c r="Q18" s="196">
        <v>0</v>
      </c>
      <c r="R18" s="196">
        <v>0</v>
      </c>
      <c r="S18" s="196">
        <v>10</v>
      </c>
      <c r="T18" s="196">
        <v>2</v>
      </c>
      <c r="U18" s="196">
        <v>9</v>
      </c>
      <c r="V18" s="196">
        <v>3</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2</v>
      </c>
      <c r="BA18" s="139">
        <f t="shared" si="15"/>
        <v>9</v>
      </c>
      <c r="BB18" s="139">
        <f t="shared" si="15"/>
        <v>3</v>
      </c>
      <c r="BC18" s="135">
        <f>IF(ISNUMBER(W18),W18," - ")</f>
        <v>0</v>
      </c>
      <c r="BD18" s="136">
        <f>IF(ISNUMBER(BA18/AZ18),BA18/AZ18," - ")</f>
        <v>4.5</v>
      </c>
      <c r="BE18" s="137">
        <f>IF(ISNUMBER(BB18/BA18),BB18/BA18, " - ")</f>
        <v>0.33333333333333331</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v>
      </c>
      <c r="J23" s="197">
        <f t="shared" si="21"/>
        <v>118</v>
      </c>
      <c r="K23" s="197">
        <f t="shared" si="21"/>
        <v>109</v>
      </c>
      <c r="L23" s="197">
        <f t="shared" si="21"/>
        <v>83</v>
      </c>
      <c r="M23" s="197">
        <f t="shared" si="21"/>
        <v>7</v>
      </c>
      <c r="N23" s="197">
        <f t="shared" si="21"/>
        <v>85</v>
      </c>
      <c r="O23" s="197">
        <f t="shared" si="21"/>
        <v>4</v>
      </c>
      <c r="P23" s="197">
        <f t="shared" si="21"/>
        <v>2</v>
      </c>
      <c r="Q23" s="197">
        <f t="shared" si="21"/>
        <v>4</v>
      </c>
      <c r="R23" s="197">
        <f t="shared" si="21"/>
        <v>6</v>
      </c>
      <c r="S23" s="197">
        <f t="shared" si="21"/>
        <v>72</v>
      </c>
      <c r="T23" s="197">
        <f t="shared" si="21"/>
        <v>131</v>
      </c>
      <c r="U23" s="197">
        <f t="shared" si="21"/>
        <v>118</v>
      </c>
      <c r="V23" s="197">
        <f t="shared" si="21"/>
        <v>85</v>
      </c>
      <c r="W23" s="197">
        <f t="shared" si="21"/>
        <v>11</v>
      </c>
      <c r="X23" s="197">
        <f t="shared" si="21"/>
        <v>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131</v>
      </c>
      <c r="BA23" s="197">
        <f>SUBTOTAL(9,BA15:BA22)</f>
        <v>118</v>
      </c>
      <c r="BB23" s="197">
        <f>SUBTOTAL(9,BB15:BB22)</f>
        <v>85</v>
      </c>
      <c r="BC23" s="197">
        <f>SUBTOTAL(9,BC15:BC22)</f>
        <v>11</v>
      </c>
      <c r="BD23" s="219">
        <f>IF(ISNUMBER(BA23/AZ23),BA23/AZ23," - ")</f>
        <v>0.9007633587786259</v>
      </c>
      <c r="BE23" s="220">
        <f>IF(ISNUMBER(BB23/BA23),BB23/BA23, " - ")</f>
        <v>0.72033898305084743</v>
      </c>
      <c r="BF23" s="220">
        <f>IF(ISNUMBER(BC23/BA23),BC23/BA23, " - ")</f>
        <v>9.3220338983050849E-2</v>
      </c>
      <c r="BG23" s="221">
        <f>IF(ISNUMBER((AY23+AZ23)/BA23),(AY23+AZ23)/BA23," - ")</f>
        <v>1.7203389830508475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v>
      </c>
      <c r="J31" s="144">
        <f t="shared" si="36"/>
        <v>220</v>
      </c>
      <c r="K31" s="144">
        <f t="shared" si="36"/>
        <v>204</v>
      </c>
      <c r="L31" s="144">
        <f t="shared" si="36"/>
        <v>228</v>
      </c>
      <c r="M31" s="144">
        <f t="shared" si="36"/>
        <v>30</v>
      </c>
      <c r="N31" s="144">
        <f t="shared" si="36"/>
        <v>127</v>
      </c>
      <c r="O31" s="144">
        <f t="shared" si="36"/>
        <v>40</v>
      </c>
      <c r="P31" s="144">
        <f t="shared" si="36"/>
        <v>20</v>
      </c>
      <c r="Q31" s="144">
        <f t="shared" si="36"/>
        <v>10</v>
      </c>
      <c r="R31" s="144">
        <f t="shared" si="36"/>
        <v>436</v>
      </c>
      <c r="S31" s="144">
        <f t="shared" si="36"/>
        <v>170</v>
      </c>
      <c r="T31" s="144">
        <f t="shared" si="36"/>
        <v>201</v>
      </c>
      <c r="U31" s="144">
        <f t="shared" si="36"/>
        <v>179</v>
      </c>
      <c r="V31" s="144">
        <f t="shared" si="36"/>
        <v>193</v>
      </c>
      <c r="W31" s="144">
        <f t="shared" si="36"/>
        <v>27</v>
      </c>
      <c r="X31" s="144">
        <f t="shared" si="36"/>
        <v>120</v>
      </c>
      <c r="Y31" s="144">
        <f t="shared" si="36"/>
        <v>1</v>
      </c>
      <c r="Z31" s="144">
        <f t="shared" si="36"/>
        <v>8</v>
      </c>
      <c r="AA31" s="144">
        <f t="shared" si="36"/>
        <v>8</v>
      </c>
      <c r="AB31" s="144">
        <f t="shared" si="36"/>
        <v>1</v>
      </c>
      <c r="AC31" s="144">
        <f t="shared" si="36"/>
        <v>0</v>
      </c>
      <c r="AD31" s="144">
        <f t="shared" si="36"/>
        <v>0</v>
      </c>
      <c r="AE31" s="144">
        <f t="shared" si="36"/>
        <v>0</v>
      </c>
      <c r="AF31" s="144">
        <f t="shared" si="36"/>
        <v>0</v>
      </c>
      <c r="AG31" s="144">
        <f t="shared" si="36"/>
        <v>2</v>
      </c>
      <c r="AH31" s="144">
        <f t="shared" si="36"/>
        <v>3</v>
      </c>
      <c r="AI31" s="144">
        <f t="shared" si="36"/>
        <v>4</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172</v>
      </c>
      <c r="AZ31" s="144">
        <f>SUBTOTAL(9,AZ9:AZ30)</f>
        <v>204</v>
      </c>
      <c r="BA31" s="144">
        <f>SUBTOTAL(9,BA9:BA30)</f>
        <v>183</v>
      </c>
      <c r="BB31" s="144">
        <f>SUBTOTAL(9,BB9:BB30)</f>
        <v>194</v>
      </c>
      <c r="BC31" s="145">
        <f>SUBTOTAL(9,BC9:BC30)</f>
        <v>41</v>
      </c>
      <c r="BD31" s="227">
        <f>IF(ISNUMBER(BA31/AZ31),BA31/AZ31," - ")</f>
        <v>0.8970588235294118</v>
      </c>
      <c r="BE31" s="224">
        <f>IF(ISNUMBER(BB31/BA31),BB31/BA31, " - ")</f>
        <v>1.0601092896174864</v>
      </c>
      <c r="BF31" s="224">
        <f>IF(ISNUMBER(BC31/BA31),BC31/BA31, " - ")</f>
        <v>0.22404371584699453</v>
      </c>
      <c r="BG31" s="145">
        <f>IF(ISNUMBER((AY31+AZ31)/BA31),(AY31+AZ31)/BA31," - ")</f>
        <v>2.0546448087431695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HVMCN1r3O7UbIbJm+x1nDPrB3EdJGQpbE8hoDIxQAkQDulw6pQn/eTm4T891pK06gYxrb+0OSSm+XPijagsg==" saltValue="cKNRgDmA20QNjOhInZcS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QsfW36jT/6zmUT6B8w7RJLMrrzMCkOJlyqDcwZQCpvhylh28Z9LnC0Do8vIlzGNVkxNYijLNc9+cIOkY2A1w==" saltValue="Sv6I+wUtTFIkaAtg9Lo5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FREGENAL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0.9363636363636364</v>
      </c>
      <c r="BH12" s="764">
        <f>IF(ISNUMBER(((IF(J_V="SI",Datos!L12/Datos!K12,(Datos!L12+Datos!AB12)/(Datos!K12+Datos!AA12)))*11)/factor_trimestre),((IF(J_V="SI",Datos!L12/Datos!K12,(Datos!L12+Datos!AB12)/(Datos!K12+Datos!AA12)))*11)/factor_trimestre," - ")</f>
        <v>4.2524271844660202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2.8708133971291867E-2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430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42</v>
      </c>
      <c r="BE14" s="1198">
        <f t="shared" si="2"/>
        <v>0</v>
      </c>
      <c r="BF14" s="1198">
        <f t="shared" si="2"/>
        <v>0</v>
      </c>
      <c r="BG14" s="1198">
        <f>IF(ISNUMBER(Datos!K14/Datos!J14),Datos!K14/Datos!J14," - ")</f>
        <v>0.93137254901960786</v>
      </c>
      <c r="BH14" s="1202">
        <f>IF(ISNUMBER(((Datos!L14/Datos!K14)*11)/factor_trimestre),((Datos!L14/Datos!K14)*11)/factor_trimestre," - ")</f>
        <v>4.5789473684210531</v>
      </c>
      <c r="BI14" s="1198">
        <f>IF(ISNUMBER('Resol  Asuntos'!D14/NºAsuntos!G14),'Resol  Asuntos'!D14/NºAsuntos!G14," - ")</f>
        <v>0.22330097087378642</v>
      </c>
      <c r="BJ14" s="1198" t="str">
        <f>IF(ISNUMBER(Datos!CI14/Datos!CJ14),Datos!CI14/Datos!CJ14," - ")</f>
        <v xml:space="preserve"> - </v>
      </c>
      <c r="BK14" s="1198">
        <f>SUBTOTAL(9,BK8:BK13)</f>
        <v>0</v>
      </c>
      <c r="BL14" s="1198" t="str">
        <f>IF(ISNUMBER((I14-AB14+L14)/(F14)),(I14-AB14+L14)/(F14)," - ")</f>
        <v xml:space="preserve"> - </v>
      </c>
      <c r="BM14" s="1203">
        <f>SUBTOTAL(9,BM9:BM13)</f>
        <v>2.8708133971291867E-2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73</v>
      </c>
      <c r="G17" s="743">
        <f>IF(ISNUMBER(IF(D_I="SI",Datos!I17,Datos!I17+Datos!AC17)),IF(D_I="SI",Datos!I17,Datos!I17+Datos!AC17)," - ")</f>
        <v>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v>
      </c>
      <c r="AC17" s="240">
        <f>IF(ISNUMBER(Datos!Q17),Datos!Q17," - ")</f>
        <v>4</v>
      </c>
      <c r="AD17" s="374"/>
      <c r="AE17" s="562"/>
      <c r="AF17" s="741">
        <f>IF(ISNUMBER(IF(D_I="SI",Datos!L17,Datos!L17+Datos!AF17)),IF(D_I="SI",Datos!L17,Datos!L17+Datos!AF17)," - ")</f>
        <v>82</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0.92173913043478262</v>
      </c>
      <c r="BH17" s="764">
        <f>IF(ISNUMBER(((IF(D_I="SI",Datos!L17/Datos!K17,(Datos!L17+Datos!AF17)/(Datos!K17+Datos!AE17)))*11)/factor_trimestre),((IF(D_I="SI",Datos!L17/Datos!K17,(Datos!L17+Datos!AF17)/(Datos!K17+Datos!AE17)))*11)/factor_trimestre," - ")</f>
        <v>2.3207547169811322</v>
      </c>
      <c r="BI17" s="266">
        <f>IF(ISNUMBER('Resol  Asuntos'!D17/NºAsuntos!G17),'Resol  Asuntos'!D17/NºAsuntos!G17," - ")</f>
        <v>5.6603773584905662E-2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73</v>
      </c>
      <c r="G23" s="1197">
        <f>SUBTOTAL(9,G16:G22)</f>
        <v>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v>
      </c>
      <c r="AC23" s="1198">
        <f t="shared" si="5"/>
        <v>4</v>
      </c>
      <c r="AD23" s="1198">
        <f t="shared" si="5"/>
        <v>0</v>
      </c>
      <c r="AE23" s="1198">
        <f t="shared" si="5"/>
        <v>0</v>
      </c>
      <c r="AF23" s="1198">
        <f t="shared" si="5"/>
        <v>83</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85</v>
      </c>
      <c r="BE23" s="1198">
        <f t="shared" si="5"/>
        <v>0</v>
      </c>
      <c r="BF23" s="1198">
        <f t="shared" si="5"/>
        <v>0</v>
      </c>
      <c r="BG23" s="1198">
        <f>IF(ISNUMBER(Datos!K23/Datos!J23),Datos!K23/Datos!J23," - ")</f>
        <v>0.92372881355932202</v>
      </c>
      <c r="BH23" s="1202">
        <f>IF(ISNUMBER(((Datos!L23/Datos!K23)*11)/factor_trimestre),((Datos!L23/Datos!K23)*11)/factor_trimestre," - ")</f>
        <v>2.2844036697247705</v>
      </c>
      <c r="BI23" s="1198">
        <f>SUBTOTAL(9,BI16:BI22)</f>
        <v>0.38993710691823896</v>
      </c>
      <c r="BJ23" s="1198">
        <f>SUBTOTAL(9,BJ16:BJ22)</f>
        <v>0</v>
      </c>
      <c r="BK23" s="1198">
        <f>SUBTOTAL(9,BK16:BK22)</f>
        <v>0</v>
      </c>
      <c r="BL23" s="1198">
        <f>IF(ISNUMBER((I23-AB23+L23)/(F23)),(I23-AB23+L23)/(F23)," - ")</f>
        <v>-1.4931506849315068</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73</v>
      </c>
      <c r="G31" s="1117">
        <f t="shared" si="18"/>
        <v>72</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v>
      </c>
      <c r="AC31" s="1118">
        <f t="shared" si="19"/>
        <v>10</v>
      </c>
      <c r="AD31" s="1118">
        <f t="shared" si="19"/>
        <v>0</v>
      </c>
      <c r="AE31" s="1118">
        <f t="shared" si="19"/>
        <v>0</v>
      </c>
      <c r="AF31" s="1125">
        <f t="shared" si="19"/>
        <v>83</v>
      </c>
      <c r="AG31" s="1125">
        <f t="shared" si="19"/>
        <v>0</v>
      </c>
      <c r="AH31" s="1125">
        <f t="shared" si="19"/>
        <v>1</v>
      </c>
      <c r="AI31" s="1125">
        <f t="shared" si="19"/>
        <v>0</v>
      </c>
      <c r="AJ31" s="1118">
        <f t="shared" si="19"/>
        <v>0</v>
      </c>
      <c r="AK31" s="1125">
        <f t="shared" si="19"/>
        <v>0</v>
      </c>
      <c r="AL31" s="1125">
        <f t="shared" si="19"/>
        <v>0</v>
      </c>
      <c r="AM31" s="1125">
        <f t="shared" si="19"/>
        <v>436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127</v>
      </c>
      <c r="BE31" s="1117">
        <f t="shared" si="19"/>
        <v>0</v>
      </c>
      <c r="BF31" s="1127">
        <f t="shared" si="19"/>
        <v>0</v>
      </c>
      <c r="BG31" s="1223">
        <f>IF(ISNUMBER(Datos!K31/Datos!J31),Datos!K31/Datos!J31," - ")</f>
        <v>0.92727272727272725</v>
      </c>
      <c r="BH31" s="1223">
        <f>IF(ISNUMBER(((Datos!L31/Datos!K31)*11)/factor_trimestre),((Datos!L31/Datos!K31)*11)/factor_trimestre," - ")</f>
        <v>3.3529411764705888</v>
      </c>
      <c r="BI31" s="1103">
        <f>IF(ISNUMBER(Datos!J31/Datos!I31),Datos!J31/Datos!I31," - ")</f>
        <v>1.0476190476190477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-1.4931506849315068</v>
      </c>
      <c r="BM31" s="1188">
        <f>IF(ISNUMBER((Datos!P31-Datos!Q31+R31)/(Datos!R31-Datos!P31+Datos!Q31-R31)),(Datos!P31-Datos!Q31+R31)/(Datos!R31-Datos!P31+Datos!Q31-R31)," - ")</f>
        <v>2.3474178403755867E-2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37.69703790308553</v>
      </c>
      <c r="G33" s="674">
        <f>IF(ISNUMBER(STDEV(G8:G30)),STDEV(G8:G30),"-")</f>
        <v>34.793951307936382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52.180547369776832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9.9570506247009281</v>
      </c>
      <c r="BD33" s="673"/>
      <c r="BE33" s="673">
        <f>IF(ISNUMBER(STDEV(BE8:BE30)),STDEV(BE8:BE30),"-")</f>
        <v>0</v>
      </c>
      <c r="BF33" s="678">
        <f>IF(ISNUMBER(STDEV(BF8:BF30)),STDEV(BF8:BF30),"-")</f>
        <v>0</v>
      </c>
      <c r="BG33" s="1052">
        <f>IF(ISNUMBER(STDEV(BG8:BG30)),STDEV(BG8:BG30),"-")</f>
        <v>3.2599835543516816E-2</v>
      </c>
      <c r="BH33" s="1058">
        <f>IF(ISNUMBER(STDEV(BH8:BH30)),STDEV(BH8:BH30),"-")</f>
        <v>1.497631620376592</v>
      </c>
      <c r="BI33" s="273">
        <f>IF(ISNUMBER(STDEV(BI8:BI30)),STDEV(BI8:BI30),"-")</f>
        <v>0.14678698447692368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3BRakpwTWCksqT11lZo47Yc1f0khZ1O/YpCW0rg/r5Wy2g7TpNBDfZhW/kcTZmIChEVy8G16B5sxAQTpoghLw==" saltValue="DWdDzTYLtZ0u6mFrD8Q9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FREGENAL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430</v>
      </c>
      <c r="AF12" s="693" t="str">
        <f>IF(ISNUMBER(Datos!BV12),Datos!BV12," - ")</f>
        <v xml:space="preserve"> - </v>
      </c>
      <c r="AG12" s="552" t="str">
        <f>IF(ISNUMBER(Datos!DV12),Datos!DV12," - ")</f>
        <v xml:space="preserve"> - </v>
      </c>
      <c r="AH12" s="553"/>
      <c r="AI12" s="554"/>
      <c r="AJ12" s="552">
        <f>IF(ISNUMBER(Datos!M12),Datos!M12," - ")</f>
        <v>23</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4.2524271844660202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2.8708133971291867E-2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0</v>
      </c>
      <c r="AB14" s="1199">
        <f t="shared" si="3"/>
        <v>0</v>
      </c>
      <c r="AC14" s="1199">
        <f t="shared" si="3"/>
        <v>0</v>
      </c>
      <c r="AD14" s="1199">
        <f t="shared" si="3"/>
        <v>0</v>
      </c>
      <c r="AE14" s="1199">
        <f t="shared" si="3"/>
        <v>430</v>
      </c>
      <c r="AF14" s="1211">
        <f t="shared" si="3"/>
        <v>0</v>
      </c>
      <c r="AG14" s="1211">
        <f t="shared" si="3"/>
        <v>0</v>
      </c>
      <c r="AH14" s="1211">
        <f t="shared" si="3"/>
        <v>0</v>
      </c>
      <c r="AI14" s="1211">
        <f t="shared" si="3"/>
        <v>0</v>
      </c>
      <c r="AJ14" s="1211">
        <f t="shared" si="3"/>
        <v>23</v>
      </c>
      <c r="AK14" s="1211">
        <f t="shared" si="3"/>
        <v>42</v>
      </c>
      <c r="AL14" s="1211">
        <f t="shared" si="3"/>
        <v>0</v>
      </c>
      <c r="AM14" s="1211">
        <f t="shared" si="3"/>
        <v>0</v>
      </c>
      <c r="AN14" s="1211">
        <f t="shared" si="3"/>
        <v>0</v>
      </c>
      <c r="AO14" s="1203">
        <f>IF(ISNUMBER(((NºAsuntos!I14/NºAsuntos!G14)*11)/factor_trimestre),((NºAsuntos!I14/NºAsuntos!G14)*11)/factor_trimestre," - ")</f>
        <v>4.2524271844660202</v>
      </c>
      <c r="AP14" s="1213" t="str">
        <f>IF(ISNUMBER(Datos!CI14/Datos!CJ14),Datos!CI14/Datos!CJ14," - ")</f>
        <v xml:space="preserve"> - </v>
      </c>
      <c r="AQ14" s="1236">
        <f t="shared" ref="AQ14:AV14" si="4">SUBTOTAL(9,AQ9:AQ13)</f>
        <v>0</v>
      </c>
      <c r="AR14" s="1236">
        <f t="shared" si="4"/>
        <v>2.8708133971291867E-2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73</v>
      </c>
      <c r="G17" s="552">
        <f>IF(ISNUMBER(IF(D_I="SI",Datos!I17,Datos!I17+Datos!AC17)),IF(D_I="SI",Datos!I17,Datos!I17+Datos!AC17)," - ")</f>
        <v>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v>
      </c>
      <c r="Z17" s="805">
        <f>IF(ISNUMBER(Datos!Q17),Datos!Q17," - ")</f>
        <v>4</v>
      </c>
      <c r="AA17" s="551">
        <f>IF(ISNUMBER(IF(D_I="SI",Datos!L17,Datos!L17+Datos!AF17)),IF(D_I="SI",Datos!L17,Datos!L17+Datos!AF17)," - ")</f>
        <v>82</v>
      </c>
      <c r="AB17" s="549"/>
      <c r="AC17" s="549"/>
      <c r="AD17" s="563"/>
      <c r="AE17" s="563">
        <f>IF(ISNUMBER(Datos!R17),Datos!R17," - ")</f>
        <v>6</v>
      </c>
      <c r="AF17" s="693" t="str">
        <f>IF(ISNUMBER(Datos!BV17),Datos!BV17," - ")</f>
        <v xml:space="preserve"> - </v>
      </c>
      <c r="AG17" s="552"/>
      <c r="AH17" s="553"/>
      <c r="AI17" s="554"/>
      <c r="AJ17" s="552">
        <f>IF(ISNUMBER(Datos!M17),Datos!M17," - ")</f>
        <v>6</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2.3207547169811322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73</v>
      </c>
      <c r="G23" s="1197">
        <f>SUBTOTAL(9,G16:G22)</f>
        <v>72</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v>
      </c>
      <c r="Z23" s="1240">
        <f t="shared" si="6"/>
        <v>4</v>
      </c>
      <c r="AA23" s="1240">
        <f t="shared" si="6"/>
        <v>83</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7</v>
      </c>
      <c r="AK23" s="1240">
        <f t="shared" si="6"/>
        <v>85</v>
      </c>
      <c r="AL23" s="1240">
        <f t="shared" si="6"/>
        <v>0</v>
      </c>
      <c r="AM23" s="1240">
        <f t="shared" si="6"/>
        <v>0</v>
      </c>
      <c r="AN23" s="1240">
        <f t="shared" si="6"/>
        <v>0</v>
      </c>
      <c r="AO23" s="1242">
        <f>IF(ISNUMBER(((NºAsuntos!I23/NºAsuntos!G23)*11)/factor_trimestre),((NºAsuntos!I23/NºAsuntos!G23)*11)/factor_trimestre," - ")</f>
        <v>2.2844036697247705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73</v>
      </c>
      <c r="G31" s="1117">
        <f t="shared" si="12"/>
        <v>72</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v>
      </c>
      <c r="Z31" s="1124">
        <f t="shared" si="13"/>
        <v>10</v>
      </c>
      <c r="AA31" s="1125">
        <f t="shared" si="13"/>
        <v>83</v>
      </c>
      <c r="AB31" s="1125">
        <f t="shared" si="13"/>
        <v>0</v>
      </c>
      <c r="AC31" s="1125">
        <f t="shared" si="13"/>
        <v>0</v>
      </c>
      <c r="AD31" s="1126">
        <f t="shared" si="13"/>
        <v>0</v>
      </c>
      <c r="AE31" s="1126">
        <f t="shared" si="13"/>
        <v>436</v>
      </c>
      <c r="AF31" s="1127">
        <f t="shared" si="13"/>
        <v>0</v>
      </c>
      <c r="AG31" s="1128">
        <f t="shared" si="13"/>
        <v>0</v>
      </c>
      <c r="AH31" s="1129">
        <f t="shared" si="13"/>
        <v>0</v>
      </c>
      <c r="AI31" s="1127">
        <f t="shared" si="13"/>
        <v>0</v>
      </c>
      <c r="AJ31" s="1117">
        <f t="shared" si="13"/>
        <v>30</v>
      </c>
      <c r="AK31" s="1117">
        <f t="shared" si="13"/>
        <v>127</v>
      </c>
      <c r="AL31" s="1117">
        <f t="shared" si="13"/>
        <v>0</v>
      </c>
      <c r="AM31" s="1130">
        <f t="shared" si="13"/>
        <v>0</v>
      </c>
      <c r="AN31" s="1120">
        <f>IF(ISNUMBER(Datos!K31/Datos!J31),Datos!K31/Datos!J31," - ")</f>
        <v>0.92727272727272725</v>
      </c>
      <c r="AO31" s="1120">
        <f>IF(ISNUMBER(FIND("06",Criterios!A8,1)),(IF(ISNUMBER(((Datos!R31/Datos!Q31)*11)/factor_trimestre),((Datos!R31/Datos!Q31)*11)/factor_trimestre," - ")),(IF(ISNUMBER(((Datos!L31/Datos!K31)*11)/factor_trimestre),((Datos!L31/Datos!K31)*11)/factor_trimestre," - ")))</f>
        <v>3.3529411764705888</v>
      </c>
      <c r="AP31" s="1131" t="str">
        <f>IF(ISNUMBER(Datos!CI31/Datos!CJ31),Datos!CI31/Datos!CJ31," - ")</f>
        <v xml:space="preserve"> - </v>
      </c>
      <c r="AQ31" s="1131">
        <f>IF(OR(ISNUMBER(FIND("01",Criterios!A8,1)),ISNUMBER(FIND("02",Criterios!A8,1)),ISNUMBER(FIND("03",Criterios!A8,1)),ISNUMBER(FIND("04",Criterios!A8,1))),(J31-Y31+K31)/(F31-K31),(I31-Y31+K31)/(F31-K31))</f>
        <v>-1.4931506849315068</v>
      </c>
      <c r="AR31" s="1131">
        <f>IF(ISNUMBER((Datos!P31-Datos!Q31+O31)/(Datos!R31-Datos!P31+Datos!Q31-O31)),(Datos!P31-Datos!Q31+O31)/(Datos!R31-Datos!P31+Datos!Q31-O31)," - ")</f>
        <v>2.3474178403755867E-2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37.69703790308553</v>
      </c>
      <c r="G33" s="674">
        <f>IF(ISNUMBER(STDEV(G8:G30)),STDEV(G8:G30),"-")</f>
        <v>34.793951307936382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9.9570506247009281</v>
      </c>
      <c r="AK33" s="276"/>
      <c r="AL33" s="276">
        <f>IF(ISNUMBER(STDEV(AL8:AL30)),STDEV(AL8:AL30),"-")</f>
        <v>0</v>
      </c>
      <c r="AM33" s="278">
        <f>IF(ISNUMBER(STDEV(AM8:AM30)),STDEV(AM8:AM30),"-")</f>
        <v>0</v>
      </c>
      <c r="AN33" s="660">
        <f>IF(ISNUMBER(STDEV(AN8:AN30)),STDEV(AN8:AN30),"-")</f>
        <v>0</v>
      </c>
      <c r="AO33" s="661">
        <f>IF(ISNUMBER(STDEV(AO8:AO30)),STDEV(AO8:AO30),"-")</f>
        <v>1.4099808959840816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hInEfKtMmPTy0q9BBcnbHfb1o2scv5Ru9Uaa6dNUyky3laYFBJP5wE7v40nrykstWo5lP3isuVBRuEF1gWd5g==" saltValue="Wp4JsTyAZMDP0M+uN8pI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3BA9K25hbwf0KzhPaXWvBXmzGlNiO33q1tNyOespBvnTuPApYfNIT7b61dXv4j8z6Yzy8GJIp7FrwVvhtGrDg==" saltValue="dQ3kL6XoKCCOaMIZFlFj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fDLwTaj7C+UFtoJ1XIV+8fVzNc4Kzkk5Y9RQTzwiQ2q0giISjXSVKrAP4dJ4z4MRO1eykyZ+5XFfubr+nAaw==" saltValue="5Byyk7cO7EJpWfPs24/S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FREGENAL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0.22330097087378642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0.15789763075039412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5UPq2blpMrD394PRm3CCG95+jqnmX8g0PnhqtJ5S1Yie990nrtWSozsdQUqSFtFwqndw78wQJUAmaJl5ZgCHw==" saltValue="GpkuY1mpMdCkKk5iWQMI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2XcmKuhoD2xlJengn0PLXYDtrY7TCM3TAmOr8w4MHGF8FrFgv1zxgmb+Vbpyhpyfro0BHn9tM2pcl28jFwbEA==" saltValue="nBVybFea0uKDn1w8uHKN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FREGENAL DE LA SIERRA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139</v>
      </c>
      <c r="D12" s="452">
        <f>IF(ISNUMBER(C12/Datos!BH12),C12/Datos!BH12," - ")</f>
        <v>139</v>
      </c>
      <c r="E12" s="451">
        <f>IF(ISNUMBER(IF(J_V="SI",Datos!J12,Datos!J12+Datos!Z12)),IF(J_V="SI",Datos!J12,Datos!J12+Datos!Z12)," - ")</f>
        <v>110</v>
      </c>
      <c r="F12" s="452">
        <f>IF(ISNUMBER(E12/B12),E12/B12," - ")</f>
        <v>110</v>
      </c>
      <c r="G12" s="451">
        <f>IF(ISNUMBER(IF(J_V="SI",Datos!K12,Datos!K12+Datos!AA12)),IF(J_V="SI",Datos!K12,Datos!K12+Datos!AA12)," - ")</f>
        <v>103</v>
      </c>
      <c r="H12" s="452">
        <f>IF(ISNUMBER(G12/B12),G12/B12," - ")</f>
        <v>103</v>
      </c>
      <c r="I12" s="451">
        <f>IF(ISNUMBER(IF(J_V="SI",Datos!L12,Datos!L12+Datos!AB12)),IF(J_V="SI",Datos!L12,Datos!L12+Datos!AB12)," - ")</f>
        <v>146</v>
      </c>
      <c r="J12" s="452">
        <f>IF(ISNUMBER(I12/B12),I12/B12," - ")</f>
        <v>146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139</v>
      </c>
      <c r="D14" s="1147" t="str">
        <f>IF(ISNUMBER(C14/Datos!BI14),C14/Datos!BI14," - ")</f>
        <v xml:space="preserve"> - </v>
      </c>
      <c r="E14" s="1146">
        <f>SUBTOTAL(9,E8:E13)</f>
        <v>110</v>
      </c>
      <c r="F14" s="1147">
        <f>IF(ISNUMBER(E14/B14),E14/B14," - ")</f>
        <v>110</v>
      </c>
      <c r="G14" s="1146">
        <f>SUBTOTAL(9,G8:G13)</f>
        <v>103</v>
      </c>
      <c r="H14" s="1147">
        <f>IF(ISNUMBER(G14/B14),G14/B14," - ")</f>
        <v>103</v>
      </c>
      <c r="I14" s="1146">
        <f>SUBTOTAL(9,I8:I13)</f>
        <v>146</v>
      </c>
      <c r="J14" s="1147">
        <f>IF(ISNUMBER(I14/B14),I14/B14," - ")</f>
        <v>146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71</v>
      </c>
      <c r="D17" s="452">
        <f>IF(ISNUMBER(C17/Datos!BH17),C17/Datos!BH17," - ")</f>
        <v>71</v>
      </c>
      <c r="E17" s="451">
        <f>IF(ISNUMBER(IF(D_I="SI",Datos!J17,Datos!J17+Datos!AD17)),IF(D_I="SI",Datos!J17,Datos!J17+Datos!AD17)," - ")</f>
        <v>115</v>
      </c>
      <c r="F17" s="452">
        <f>IF(ISNUMBER(E17/B17),E17/B17," - ")</f>
        <v>115</v>
      </c>
      <c r="G17" s="451">
        <f>IF(ISNUMBER(IF(D_I="SI",Datos!K17,Datos!K17+Datos!AE17)),IF(D_I="SI",Datos!K17,Datos!K17+Datos!AE17)," - ")</f>
        <v>106</v>
      </c>
      <c r="H17" s="452">
        <f>IF(ISNUMBER(G17/B17),G17/B17," - ")</f>
        <v>106</v>
      </c>
      <c r="I17" s="451">
        <f>IF(ISNUMBER(IF(D_I="SI",Datos!L17,Datos!L17+Datos!AF17)),IF(D_I="SI",Datos!L17,Datos!L17+Datos!AF17)," - ")</f>
        <v>82</v>
      </c>
      <c r="J17" s="452">
        <f>IF(ISNUMBER(I17/B17),I17/B17," - ")</f>
        <v>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3</v>
      </c>
      <c r="F18" s="452">
        <f>IF(ISNUMBER(E18/B18),E18/B18," - ")</f>
        <v>3</v>
      </c>
      <c r="G18" s="451">
        <f>IF(ISNUMBER(IF(D_I="SI",Datos!K18,Datos!K18+Datos!AE18)),IF(D_I="SI",Datos!K18,Datos!K18+Datos!AE18)," - ")</f>
        <v>3</v>
      </c>
      <c r="H18" s="452">
        <f>IF(ISNUMBER(G18/B18),G18/B18," - ")</f>
        <v>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72</v>
      </c>
      <c r="D23" s="1147" t="str">
        <f>IF(ISNUMBER(C23/Datos!BI23),C23/Datos!BI23," - ")</f>
        <v xml:space="preserve"> - </v>
      </c>
      <c r="E23" s="1146">
        <f>SUBTOTAL(9,E15:E22)</f>
        <v>118</v>
      </c>
      <c r="F23" s="1147">
        <f>IF(ISNUMBER(E23/B23),E23/B23," - ")</f>
        <v>118</v>
      </c>
      <c r="G23" s="1146">
        <f>SUBTOTAL(9,G15:G22)</f>
        <v>109</v>
      </c>
      <c r="H23" s="1147">
        <f>IF(ISNUMBER(G23/B23),G23/B23," - ")</f>
        <v>109</v>
      </c>
      <c r="I23" s="1146">
        <f>SUBTOTAL(9,I15:I22)</f>
        <v>83</v>
      </c>
      <c r="J23" s="1147">
        <f>IF(ISNUMBER(I23/B23),I23/B23," - ")</f>
        <v>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211</v>
      </c>
      <c r="D31" s="1085" t="str">
        <f>IF(ISNUMBER(C31/Datos!BI31),C31/Datos!BI31," - ")</f>
        <v xml:space="preserve"> - </v>
      </c>
      <c r="E31" s="1084">
        <f>SUBTOTAL(9,E9:E30)</f>
        <v>228</v>
      </c>
      <c r="F31" s="1085">
        <f>IF(ISNUMBER(E31/B31),E31/B31," - ")</f>
        <v>228</v>
      </c>
      <c r="G31" s="1084">
        <f>SUBTOTAL(9,G9:G30)</f>
        <v>212</v>
      </c>
      <c r="H31" s="1085">
        <f>IF(ISNUMBER(G31/B31),G31/B31," - ")</f>
        <v>212</v>
      </c>
      <c r="I31" s="1084">
        <f>SUBTOTAL(9,I9:I30)</f>
        <v>229</v>
      </c>
      <c r="J31" s="1085">
        <f>IF(ISNUMBER(I31/B31),I31/B31," - ")</f>
        <v>229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0+N3xGvLUt40jqM/09RN0W4t7w1HF9zClyghFqoFTpYPk3Pe8wBUHCXu5qoYyfgKbsZKCRuSQVULnKzdzbsLg==" saltValue="drr1bfqO43VJxn/H5UVc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FREGENAL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4.2524271844660202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2.8708133971291867E-2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0</v>
      </c>
      <c r="AG14" s="1257">
        <f t="shared" si="1"/>
        <v>0</v>
      </c>
      <c r="AH14" s="1257">
        <f t="shared" si="1"/>
        <v>430</v>
      </c>
      <c r="AI14" s="1257">
        <f t="shared" si="1"/>
        <v>0</v>
      </c>
      <c r="AJ14" s="1257">
        <f t="shared" si="1"/>
        <v>0</v>
      </c>
      <c r="AK14" s="1257">
        <f t="shared" si="1"/>
        <v>0</v>
      </c>
      <c r="AL14" s="1257">
        <f t="shared" si="1"/>
        <v>23</v>
      </c>
      <c r="AM14" s="1257">
        <f t="shared" si="1"/>
        <v>42</v>
      </c>
      <c r="AN14" s="1257">
        <f t="shared" si="1"/>
        <v>0</v>
      </c>
      <c r="AO14" s="1257">
        <f t="shared" si="1"/>
        <v>0</v>
      </c>
      <c r="AP14" s="1262">
        <f>IF(ISNUMBER(((Datos!L14/Datos!K14)*11)/factor_trimestre),((Datos!L14/Datos!K14)*11)/factor_trimestre," - ")</f>
        <v>4.5789473684210531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2.8708133971291867E-2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2.2844036697247705</v>
      </c>
      <c r="AQ23" s="1262">
        <f>IF(ISNUMBER(((Datos!M23/Datos!L23)*11)/factor_trimestre),((Datos!M23/Datos!L23)*11)/factor_trimestre," - ")</f>
        <v>0.25301204819277107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-2.7027027027027029E-2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0</v>
      </c>
      <c r="AG31" s="1285">
        <f t="shared" si="9"/>
        <v>0</v>
      </c>
      <c r="AH31" s="1285">
        <f t="shared" si="9"/>
        <v>430</v>
      </c>
      <c r="AI31" s="1285">
        <f t="shared" si="9"/>
        <v>0</v>
      </c>
      <c r="AJ31" s="1286">
        <f t="shared" si="9"/>
        <v>0</v>
      </c>
      <c r="AK31" s="1286">
        <f t="shared" si="9"/>
        <v>0</v>
      </c>
      <c r="AL31" s="1278">
        <f t="shared" si="9"/>
        <v>23</v>
      </c>
      <c r="AM31" s="1278">
        <f t="shared" si="9"/>
        <v>42</v>
      </c>
      <c r="AN31" s="1278">
        <f t="shared" si="9"/>
        <v>0</v>
      </c>
      <c r="AO31" s="1278">
        <f t="shared" si="9"/>
        <v>0</v>
      </c>
      <c r="AP31" s="1278">
        <f>IF(ISNUMBER(((Datos!L31/Datos!K31)*11)/factor_trimestre),((Datos!L31/Datos!K31)*11)/factor_trimestre," - ")</f>
        <v>3.3529411764705888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2.3474178403755867E-2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1.2412804390582151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vdIM997bKM3ZsTx5hu/TnFzn+XOg5qFxHZ7FbgMCCTT1mlmRggv7+sPVTmx2hBEHqb8b5jg35SbfCIIG/QttQ==" saltValue="+EdBUE59Hdj94oLE909u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FREGENAL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Hily242GEvRm8jOsLGzW+pUtjz8bWiX5fE2FPljzc45V5i10HRSUT5IgcYihR/1IwUoiK8eq8XqY3Z2WfZGmA==" saltValue="EdoNM0wStg5EbFrJb4Ff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FREGENAL DE LA SIERRA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42</v>
      </c>
      <c r="G12" s="452">
        <f t="shared" si="1"/>
        <v>42</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42</v>
      </c>
      <c r="G14" s="1147">
        <f t="shared" si="1"/>
        <v>21</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v>
      </c>
      <c r="E17" s="452">
        <f t="shared" si="3"/>
        <v>6</v>
      </c>
      <c r="F17" s="451">
        <f>IF(ISNUMBER(Datos!N17),Datos!N17," - ")</f>
        <v>83</v>
      </c>
      <c r="G17" s="452">
        <f t="shared" si="4"/>
        <v>83</v>
      </c>
      <c r="H17" s="451">
        <f>IF(ISNUMBER(Datos!O17),Datos!O17," - ")</f>
        <v>4</v>
      </c>
      <c r="I17" s="452">
        <f t="shared" si="5"/>
        <v>4</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85</v>
      </c>
      <c r="G23" s="1147">
        <f t="shared" si="4"/>
        <v>42.5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127</v>
      </c>
      <c r="G31" s="1085">
        <f>IF(ISNUMBER(F31/B31),F31/B31," - ")</f>
        <v>127</v>
      </c>
      <c r="H31" s="1084">
        <f>SUBTOTAL(9,H8:H30)</f>
        <v>40</v>
      </c>
      <c r="I31" s="1085">
        <f>IF(ISNUMBER(H31/B31),H31/B31," - ")</f>
        <v>40</v>
      </c>
    </row>
    <row r="34" spans="1:1">
      <c r="A34" s="439" t="str">
        <f>Criterios!A4</f>
        <v>Fecha Informe: 06 may. 2023</v>
      </c>
    </row>
    <row r="39" spans="1:1">
      <c r="A39" s="462"/>
    </row>
  </sheetData>
  <sheetProtection algorithmName="SHA-512" hashValue="ofWcHLyJKFh1zbmqJCVmRQ4Pm36LLGhMcOFhqwMDY3pZtrP00uQpYk7yi/oQOayGUrBb+tjvBZpFVIRpUe0Ucg==" saltValue="sl8J38GXCBP+bkjTxYU7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FREGENAL DE LA SIERRA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v>
      </c>
      <c r="C12" s="489">
        <f>IF(ISNUMBER(Datos!Q12),Datos!Q12," - ")</f>
        <v>6</v>
      </c>
      <c r="D12" s="456">
        <f>IF(ISNUMBER(Datos!R12),Datos!R12," - ")</f>
        <v>430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v>
      </c>
      <c r="C14" s="1150">
        <f>SUBTOTAL(9,C9:C13)</f>
        <v>6</v>
      </c>
      <c r="D14" s="1148">
        <f>SUBTOTAL(9,D9:D13)</f>
        <v>430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4</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4</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10</v>
      </c>
      <c r="D31" s="1090">
        <f>SUBTOTAL(9,D8:D30)</f>
        <v>436</v>
      </c>
    </row>
    <row r="32" spans="1:4" ht="7.5" customHeight="1"/>
    <row r="33" spans="1:1" ht="6" customHeight="1"/>
    <row r="34" spans="1:1">
      <c r="A34" s="439" t="str">
        <f>Criterios!A4</f>
        <v>Fecha Informe: 06 may. 2023</v>
      </c>
    </row>
    <row r="39" spans="1:1">
      <c r="A39" s="462"/>
    </row>
  </sheetData>
  <sheetProtection algorithmName="SHA-512" hashValue="K/oZr0/xEISbb/fnJMYlo72l/FHUdg1ijEFttqiINJFJcfyDhtYx9atW/VQwxzEmEh/rAP1w0ugFV95lEDGXZw==" saltValue="0luBfKd8TAqqd5dLy5qW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FREGENAL DE LA SIERRA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v>
      </c>
      <c r="C12" s="515">
        <f>IF(ISNUMBER(
   IF(J_V="SI",(Datos!J12-Datos!T12)/Datos!T12,(Datos!J12+Datos!Z12-(Datos!T12+Datos!AH12))/(Datos!T12+Datos!AH12))
     ),IF(J_V="SI",(Datos!J12-Datos!T12)/Datos!T12,(Datos!J12+Datos!Z12-(Datos!T12+Datos!AH12))/(Datos!T12+Datos!AH12))," - ")</f>
        <v>0.50684931506849318</v>
      </c>
      <c r="D12" s="515">
        <f>IF(ISNUMBER(
   IF(J_V="SI",(Datos!K12-Datos!U12)/Datos!U12,(Datos!K12+Datos!AA12-(Datos!U12+Datos!AI12))/(Datos!U12+Datos!AI12))
     ),IF(J_V="SI",(Datos!K12-Datos!U12)/Datos!U12,(Datos!K12+Datos!AA12-(Datos!U12+Datos!AI12))/(Datos!U12+Datos!AI12))," - ")</f>
        <v>0.58461538461538465</v>
      </c>
      <c r="E12" s="515">
        <f>IF(ISNUMBER(
   IF(J_V="SI",(Datos!L12-Datos!V12)/Datos!V12,(Datos!L12+Datos!AB12-(Datos!V12+Datos!AJ12))/(Datos!V12+Datos!AJ12))
     ),IF(J_V="SI",(Datos!L12-Datos!V12)/Datos!V12,(Datos!L12+Datos!AB12-(Datos!V12+Datos!AJ12))/(Datos!V12+Datos!AJ12))," - ")</f>
        <v>0.33944954128440369</v>
      </c>
      <c r="F12" s="515">
        <f>IF(ISNUMBER((Datos!M12-Datos!W12)/Datos!W12),(Datos!M12-Datos!W12)/Datos!W12," - ")</f>
        <v>0.4375</v>
      </c>
      <c r="G12" s="516">
        <f>IF(ISNUMBER((Datos!N12-Datos!X12)/Datos!X12),(Datos!N12-Datos!X12)/Datos!X12," - ")</f>
        <v>0.4</v>
      </c>
      <c r="H12" s="514">
        <f>IF(ISNUMBER(((NºAsuntos!G12/NºAsuntos!E12)-Datos!BD12)/Datos!BD12),((NºAsuntos!G12/NºAsuntos!E12)-Datos!BD12)/Datos!BD12," - ")</f>
        <v>5.1608391608391639E-2</v>
      </c>
      <c r="I12" s="515">
        <f>IF(ISNUMBER(((NºAsuntos!I12/NºAsuntos!G12)-Datos!BE12)/Datos!BE12),((NºAsuntos!I12/NºAsuntos!G12)-Datos!BE12)/Datos!BE12," - ")</f>
        <v>-0.15471630889819185</v>
      </c>
      <c r="J12" s="521">
        <f>IF(ISNUMBER((('Resol  Asuntos'!D12/NºAsuntos!G12)-Datos!BF12)/Datos!BF12),(('Resol  Asuntos'!D12/NºAsuntos!G12)-Datos!BF12)/Datos!BF12," - ")</f>
        <v>-0.51618122977346281</v>
      </c>
      <c r="K12" s="522">
        <f>IF(ISNUMBER((((NºAsuntos!C12+NºAsuntos!E12)/NºAsuntos!G12)-Datos!BG12)/Datos!BG12),(((NºAsuntos!C12+NºAsuntos!E12)/NºAsuntos!G12)-Datos!BG12)/Datos!BG12," - ")</f>
        <v>-9.1699870924294324E-2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0.39</v>
      </c>
      <c r="C14" s="1152">
        <f>IF(ISNUMBER(
   IF(J_V="SI",(Datos!J14-Datos!T14)/Datos!T14,(Datos!J14+Datos!Z14-(Datos!T14+Datos!AH14))/(Datos!T14+Datos!AH14))
     ),IF(J_V="SI",(Datos!J14-Datos!T14)/Datos!T14,(Datos!J14+Datos!Z14-(Datos!T14+Datos!AH14))/(Datos!T14+Datos!AH14))," - ")</f>
        <v>0.50684931506849318</v>
      </c>
      <c r="D14" s="1152">
        <f>IF(ISNUMBER(
   IF(J_V="SI",(Datos!K14-Datos!U14)/Datos!U14,(Datos!K14+Datos!AA14-(Datos!U14+Datos!AI14))/(Datos!U14+Datos!AI14))
     ),IF(J_V="SI",(Datos!K14-Datos!U14)/Datos!U14,(Datos!K14+Datos!AA14-(Datos!U14+Datos!AI14))/(Datos!U14+Datos!AI14))," - ")</f>
        <v>0.58461538461538465</v>
      </c>
      <c r="E14" s="1152">
        <f>IF(ISNUMBER(
   IF(J_V="SI",(Datos!L14-Datos!V14)/Datos!V14,(Datos!L14+Datos!AB14-(Datos!V14+Datos!AJ14))/(Datos!V14+Datos!AJ14))
     ),IF(J_V="SI",(Datos!L14-Datos!V14)/Datos!V14,(Datos!L14+Datos!AB14-(Datos!V14+Datos!AJ14))/(Datos!V14+Datos!AJ14))," - ")</f>
        <v>0.33944954128440369</v>
      </c>
      <c r="F14" s="1153">
        <f>IF(ISNUMBER((Datos!M14-Datos!W14)/Datos!W14),(Datos!M14-Datos!W14)/Datos!W14," - ")</f>
        <v>0.4375</v>
      </c>
      <c r="G14" s="1154">
        <f>IF(ISNUMBER((Datos!N14-Datos!X14)/Datos!X14),(Datos!N14-Datos!X14)/Datos!X14," - ")</f>
        <v>0.4</v>
      </c>
      <c r="H14" s="1154">
        <f>IF(ISNUMBER(((NºAsuntos!G14/NºAsuntos!E14)-Datos!BD14)/Datos!BD14),((NºAsuntos!G14/NºAsuntos!E14)-Datos!BD14)/Datos!BD14," - ")</f>
        <v>5.1608391608391639E-2</v>
      </c>
      <c r="I14" s="1154">
        <f>IF(ISNUMBER(((NºAsuntos!I14/NºAsuntos!G14)-Datos!BE14)/Datos!BE14),((NºAsuntos!I14/NºAsuntos!G14)-Datos!BE14)/Datos!BE14," - ")</f>
        <v>-0.15471630889819185</v>
      </c>
      <c r="J14" s="1154">
        <f>IF(ISNUMBER((('Resol  Asuntos'!D14/NºAsuntos!G14)-Datos!BF14)/Datos!BF14),(('Resol  Asuntos'!D14/NºAsuntos!G14)-Datos!BF14)/Datos!BF14," - ")</f>
        <v>-0.51618122977346281</v>
      </c>
      <c r="K14" s="1154">
        <f>IF(ISNUMBER((((NºAsuntos!C14+NºAsuntos!E14)/NºAsuntos!G14)-Datos!BG14)/Datos!BG14),(((NºAsuntos!C14+NºAsuntos!E14)/NºAsuntos!G14)-Datos!BG14)/Datos!BG14," - ")</f>
        <v>-9.1699870924294324E-2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0.14516129032258066</v>
      </c>
      <c r="C17" s="515">
        <f>IF(ISNUMBER(
   IF(D_I="SI",(Datos!J17-Datos!T17)/Datos!T17,(Datos!J17+Datos!AD17-(Datos!T17+Datos!AL17))/(Datos!T17+Datos!AL17))
     ),IF(D_I="SI",(Datos!J17-Datos!T17)/Datos!T17,(Datos!J17+Datos!AD17-(Datos!T17+Datos!AL17))/(Datos!T17+Datos!AL17))," - ")</f>
        <v>-0.10852713178294573</v>
      </c>
      <c r="D17" s="515">
        <f>IF(ISNUMBER(
   IF(D_I="SI",(Datos!K17-Datos!U17)/Datos!U17,(Datos!K17+Datos!AE17-(Datos!U17+Datos!AM17))/(Datos!U17+Datos!AM17))
     ),IF(D_I="SI",(Datos!K17-Datos!U17)/Datos!U17,(Datos!K17+Datos!AE17-(Datos!U17+Datos!AM17))/(Datos!U17+Datos!AM17))," - ")</f>
        <v>-2.7522935779816515E-2</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-0.45454545454545453</v>
      </c>
      <c r="G17" s="516">
        <f>IF(ISNUMBER((Datos!N17-Datos!X17)/Datos!X17),(Datos!N17-Datos!X17)/Datos!X17," - ")</f>
        <v>3.7499999999999999E-2</v>
      </c>
      <c r="H17" s="514">
        <f>IF(ISNUMBER(((NºAsuntos!G17/NºAsuntos!E17)-Datos!BD17)/Datos!BD17),((NºAsuntos!G17/NºAsuntos!E17)-Datos!BD17)/Datos!BD17," - ")</f>
        <v>9.0865576386118946E-2</v>
      </c>
      <c r="I17" s="515">
        <f>IF(ISNUMBER(((NºAsuntos!I17/NºAsuntos!G17)-Datos!BE17)/Datos!BE17),((NºAsuntos!I17/NºAsuntos!G17)-Datos!BE17)/Datos!BE17," - ")</f>
        <v>2.8301886792452841E-2</v>
      </c>
      <c r="J17" s="521">
        <f>IF(ISNUMBER((('Resol  Asuntos'!D17/NºAsuntos!G17)-Datos!BF17)/Datos!BF17),(('Resol  Asuntos'!D17/NºAsuntos!G17)-Datos!BF17)/Datos!BF17," - ")</f>
        <v>-0.43910806174957118</v>
      </c>
      <c r="K17" s="522">
        <f>IF(ISNUMBER((((NºAsuntos!C17+NºAsuntos!E17)/NºAsuntos!G17)-Datos!BG17)/Datos!BG17),(((NºAsuntos!C17+NºAsuntos!E17)/NºAsuntos!G17)-Datos!BG17)/Datos!BG17," - ")</f>
        <v>1.3829892324410467E-3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-0.8</v>
      </c>
      <c r="H18" s="514">
        <f>IF(ISNUMBER(((NºAsuntos!G18/NºAsuntos!E18)-Datos!BD18)/Datos!BD18),((NºAsuntos!G18/NºAsuntos!E18)-Datos!BD18)/Datos!BD18," - ")</f>
        <v>-0.77777777777777779</v>
      </c>
      <c r="I18" s="515">
        <f>IF(ISNUMBER(((NºAsuntos!I18/NºAsuntos!G18)-Datos!BE18)/Datos!BE18),((NºAsuntos!I18/NºAsuntos!G18)-Datos!BE18)/Datos!BE18," - ")</f>
        <v>0</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-9.9236641221374045E-2</v>
      </c>
      <c r="D23" s="1152">
        <f>IF(ISNUMBER(
   IF(Criterios!B14="SI",(Datos!K23-Datos!U23)/Datos!U23,(Datos!K23+Datos!AE23-(Datos!U23+Datos!AM23))/(Datos!U23+Datos!AM23))
     ),IF(Criterios!B14="SI",(Datos!K23-Datos!U23)/Datos!U23,(Datos!K23+Datos!AE23-(Datos!U23+Datos!AM23))/(Datos!U23+Datos!AM23))," - ")</f>
        <v>-7.6271186440677971E-2</v>
      </c>
      <c r="E23" s="1152">
        <f>IF(ISNUMBER(
   IF(Criterios!B14="SI",(Datos!L23-Datos!V23)/Datos!V23,(Datos!L23+Datos!AF23-(Datos!V23+Datos!AN23))/(Datos!V23+Datos!AN23))
     ),IF(Criterios!B14="SI",(Datos!L23-Datos!V23)/Datos!V23,(Datos!L23+Datos!AF23-(Datos!V23+Datos!AN23))/(Datos!V23+Datos!AN23))," - ")</f>
        <v>-2.3529411764705882E-2</v>
      </c>
      <c r="F23" s="1153">
        <f>IF(ISNUMBER((Datos!M23-Datos!W23)/Datos!W23),(Datos!M23-Datos!W23)/Datos!W23," - ")</f>
        <v>-0.36363636363636365</v>
      </c>
      <c r="G23" s="1154">
        <f>IF(ISNUMBER((Datos!N23-Datos!X23)/Datos!X23),(Datos!N23-Datos!X23)/Datos!X23," - ")</f>
        <v>-5.5555555555555552E-2</v>
      </c>
      <c r="H23" s="1154">
        <f>IF(ISNUMBER(((NºAsuntos!G23/NºAsuntos!E23)-Datos!BD23)/Datos!BD23),((NºAsuntos!G23/NºAsuntos!E23)-Datos!BD23)/Datos!BD23," - ")</f>
        <v>2.5495547256535519E-2</v>
      </c>
      <c r="I23" s="1154">
        <f>IF(ISNUMBER(((NºAsuntos!I23/NºAsuntos!G23)-Datos!BE23)/Datos!BE23),((NºAsuntos!I23/NºAsuntos!G23)-Datos!BE23)/Datos!BE23," - ")</f>
        <v>5.7096600107933111E-2</v>
      </c>
      <c r="J23" s="1154">
        <f>IF(ISNUMBER((('Resol  Asuntos'!D23/NºAsuntos!G23)-Datos!BF23)/Datos!BF23),(('Resol  Asuntos'!D23/NºAsuntos!G23)-Datos!BF23)/Datos!BF23," - ")</f>
        <v>-0.31109257714762301</v>
      </c>
      <c r="K23" s="1154">
        <f>IF(ISNUMBER((((NºAsuntos!C23+NºAsuntos!E23)/NºAsuntos!G23)-Datos!BG23)/Datos!BG23),(((NºAsuntos!C23+NºAsuntos!E23)/NºAsuntos!G23)-Datos!BG23)/Datos!BG23," - ")</f>
        <v>1.3241740859583259E-2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0.22674418604651161</v>
      </c>
      <c r="C31" s="1092">
        <f>IF(ISNUMBER(
   IF(J_V="SI",(Datos!J31-Datos!T31)/Datos!T31,(Datos!J31+Datos!Z31-(Datos!T31+Datos!AH31))/(Datos!T31+Datos!AH31))
     ),IF(J_V="SI",(Datos!J31-Datos!T31)/Datos!T31,(Datos!J31+Datos!Z31-(Datos!T31+Datos!AH31))/(Datos!T31+Datos!AH31))," - ")</f>
        <v>0.11764705882352941</v>
      </c>
      <c r="D31" s="1092">
        <f>IF(ISNUMBER(
   IF(J_V="SI",(Datos!K31-Datos!U31)/Datos!U31,(Datos!K31+Datos!AA31-(Datos!U31+Datos!AI31))/(Datos!U31+Datos!AI31))
     ),IF(J_V="SI",(Datos!K31-Datos!U31)/Datos!U31,(Datos!K31+Datos!AA31-(Datos!U31+Datos!AI31))/(Datos!U31+Datos!AI31))," - ")</f>
        <v>0.15846994535519127</v>
      </c>
      <c r="E31" s="1092">
        <f>IF(ISNUMBER(
   IF(J_V="SI",(Datos!L31-Datos!V31)/Datos!V31,(Datos!L31+Datos!AB31-(Datos!V31+Datos!AJ31))/(Datos!V31+Datos!AJ31))
     ),IF(J_V="SI",(Datos!L31-Datos!V31)/Datos!V31,(Datos!L31+Datos!AB31-(Datos!V31+Datos!AJ31))/(Datos!V31+Datos!AJ31))," - ")</f>
        <v>0.18041237113402062</v>
      </c>
      <c r="F31" s="1093">
        <f>IF(ISNUMBER((Datos!M31-Datos!W31)/Datos!W31),(Datos!M31-Datos!W31)/Datos!W31," - ")</f>
        <v>0.1111111111111111</v>
      </c>
      <c r="G31" s="1094">
        <f>IF(ISNUMBER((Datos!N31-Datos!X31)/Datos!X31),(Datos!N31-Datos!X31)/Datos!X31," - ")</f>
        <v>5.8333333333333334E-2</v>
      </c>
      <c r="H31" s="1095">
        <f>IF(ISNUMBER((Tasas!B31-Datos!BD31)/Datos!BD31),(Tasas!B31-Datos!BD31)/Datos!BD31," - ")</f>
        <v>3.6525740580960565E-2</v>
      </c>
      <c r="I31" s="1096">
        <f>IF(ISNUMBER((Tasas!C31-Datos!BE31)/Datos!BE31),(Tasas!C31-Datos!BE31)/Datos!BE31," - ")</f>
        <v>1.8940867535498902E-2</v>
      </c>
      <c r="J31" s="1097">
        <f>IF(ISNUMBER((Tasas!D31-Datos!BF31)/Datos!BF31),(Tasas!D31-Datos!BF31)/Datos!BF31," - ")</f>
        <v>-0.3683847215830649</v>
      </c>
      <c r="K31" s="1097">
        <f>IF(ISNUMBER((Tasas!E31-Datos!BG31)/Datos!BG31),(Tasas!E31-Datos!BG31)/Datos!BG31," - ")</f>
        <v>7.8407266158169852E-3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FOC4NRRSRTR4+ym80Aqkn+zgvBzTDWz91eYwBuINZ/oi0f1bA2u2GUAcRRviSDbwiSDQxS2KjxO06mxpiwu5w==" saltValue="6ZxwP6gRce+vhmSN4EcB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FREGENAL DE LA SIERRA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0.9363636363636364</v>
      </c>
      <c r="C12" s="498">
        <f>IF(ISNUMBER(NºAsuntos!I12/NºAsuntos!G12),NºAsuntos!I12/NºAsuntos!G12," - ")</f>
        <v>1.4174757281553398</v>
      </c>
      <c r="D12" s="499">
        <f>IF(ISNUMBER('Resol  Asuntos'!D12/NºAsuntos!G12),'Resol  Asuntos'!D12/NºAsuntos!G12," - ")</f>
        <v>0.22330097087378642</v>
      </c>
      <c r="E12" s="500">
        <f>IF(ISNUMBER((NºAsuntos!C12+NºAsuntos!E12)/NºAsuntos!G12),(NºAsuntos!C12+NºAsuntos!E12)/NºAsuntos!G12," - ")</f>
        <v>2.4174757281553396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0.9363636363636364</v>
      </c>
      <c r="C14" s="1156">
        <f>IF(ISNUMBER(NºAsuntos!I14/NºAsuntos!G14),NºAsuntos!I14/NºAsuntos!G14," - ")</f>
        <v>1.4174757281553398</v>
      </c>
      <c r="D14" s="1157">
        <f>IF(ISNUMBER('Resol  Asuntos'!D14/NºAsuntos!G14),'Resol  Asuntos'!D14/NºAsuntos!G14," - ")</f>
        <v>0.22330097087378642</v>
      </c>
      <c r="E14" s="1158">
        <f>IF(ISNUMBER((NºAsuntos!C14+NºAsuntos!E14)/NºAsuntos!G14),(NºAsuntos!C14+NºAsuntos!E14)/NºAsuntos!G14," - ")</f>
        <v>2.4174757281553396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0.92173913043478262</v>
      </c>
      <c r="C17" s="498">
        <f>IF(ISNUMBER(NºAsuntos!I17/NºAsuntos!G17),NºAsuntos!I17/NºAsuntos!G17," - ")</f>
        <v>0.77358490566037741</v>
      </c>
      <c r="D17" s="499">
        <f>IF(ISNUMBER('Resol  Asuntos'!D17/NºAsuntos!G17),'Resol  Asuntos'!D17/NºAsuntos!G17," - ")</f>
        <v>5.6603773584905662E-2</v>
      </c>
      <c r="E17" s="500">
        <f>IF(ISNUMBER((NºAsuntos!C17+NºAsuntos!E17)/NºAsuntos!G17),(NºAsuntos!C17+NºAsuntos!E17)/NºAsuntos!G17," - ")</f>
        <v>1.7547169811320755</v>
      </c>
      <c r="G17" s="523"/>
    </row>
    <row r="18" spans="1:7">
      <c r="A18" s="450" t="str">
        <f>Datos!A18</f>
        <v>Jdos. Violencia contra la mujer</v>
      </c>
      <c r="B18" s="497">
        <f>IF(ISNUMBER(NºAsuntos!G18/NºAsuntos!E18),NºAsuntos!G18/NºAsuntos!E18," - ")</f>
        <v>1</v>
      </c>
      <c r="C18" s="498">
        <f>IF(ISNUMBER(NºAsuntos!I18/NºAsuntos!G18),NºAsuntos!I18/NºAsuntos!G18," - ")</f>
        <v>0.33333333333333331</v>
      </c>
      <c r="D18" s="499">
        <f>IF(ISNUMBER('Resol  Asuntos'!D18/NºAsuntos!G18),'Resol  Asuntos'!D18/NºAsuntos!G18," - ")</f>
        <v>0.33333333333333331</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0.92372881355932202</v>
      </c>
      <c r="C23" s="1156">
        <f>IF(ISNUMBER(NºAsuntos!I23/NºAsuntos!G23),NºAsuntos!I23/NºAsuntos!G23," - ")</f>
        <v>0.76146788990825687</v>
      </c>
      <c r="D23" s="1159">
        <f>IF(ISNUMBER('Resol  Asuntos'!D23/NºAsuntos!G23),'Resol  Asuntos'!D23/NºAsuntos!G23," - ")</f>
        <v>6.4220183486238536E-2</v>
      </c>
      <c r="E23" s="1158">
        <f>IF(ISNUMBER((NºAsuntos!C23+NºAsuntos!E23)/NºAsuntos!G23),(NºAsuntos!C23+NºAsuntos!E23)/NºAsuntos!G23," - ")</f>
        <v>1.7431192660550459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0.92982456140350878</v>
      </c>
      <c r="C31" s="1099">
        <f>IF(ISNUMBER(NºAsuntos!I31/NºAsuntos!G31),NºAsuntos!I31/NºAsuntos!G31," - ")</f>
        <v>1.0801886792452831</v>
      </c>
      <c r="D31" s="1100">
        <f>IF(ISNUMBER('Resol  Asuntos'!D31/NºAsuntos!G31),'Resol  Asuntos'!D31/NºAsuntos!G31," - ")</f>
        <v>0.14150943396226415</v>
      </c>
      <c r="E31" s="1101">
        <f>IF(ISNUMBER((NºAsuntos!C31+NºAsuntos!E31)/NºAsuntos!G31),(NºAsuntos!C31+NºAsuntos!E31)/NºAsuntos!G31," - ")</f>
        <v>2.0707547169811322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2BFKvyuC1SWQYBLOtZXFIvoNyVNvQRn5o0kWGzWkp/P95z1MDmGcRP+OUMz/EGrs4yxsV1PjoRUrhiSIKPKXQ==" saltValue="W5mUrIDX1e8vj3WDf53S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FREGENAL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0.9363636363636364</v>
      </c>
      <c r="AM12" s="284">
        <f>IF(ISNUMBER(((NºAsuntos!I12/NºAsuntos!G12)*11)/factor_trimestre),((NºAsuntos!I12/NºAsuntos!G12)*11)/factor_trimestre," - ")</f>
        <v>4.2524271844660202</v>
      </c>
      <c r="AN12" s="267">
        <f>IF(ISNUMBER('Resol  Asuntos'!D12/NºAsuntos!G12),'Resol  Asuntos'!D12/NºAsuntos!G12," - ")</f>
        <v>0.22330097087378642</v>
      </c>
      <c r="AO12" s="268">
        <f>IF(ISNUMBER((NºAsuntos!C12+NºAsuntos!E12)/NºAsuntos!G12),(NºAsuntos!C12+NºAsuntos!E12)/NºAsuntos!G12," - ")</f>
        <v>2.4174757281553396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0</v>
      </c>
      <c r="AB14" s="1165">
        <f t="shared" si="6"/>
        <v>430</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0.9363636363636364</v>
      </c>
      <c r="AM14" s="1171">
        <f>IF(ISNUMBER(((NºAsuntos!I14/NºAsuntos!G14)*11)/factor_trimestre),((NºAsuntos!I14/NºAsuntos!G14)*11)/factor_trimestre," - ")</f>
        <v>4.2524271844660202</v>
      </c>
      <c r="AN14" s="1172">
        <f>IF(ISNUMBER('Resol  Asuntos'!D14/NºAsuntos!G14),'Resol  Asuntos'!D14/NºAsuntos!G14," - ")</f>
        <v>0.22330097087378642</v>
      </c>
      <c r="AO14" s="1173">
        <f>IF(ISNUMBER((NºAsuntos!C14+NºAsuntos!E14)/NºAsuntos!G14),(NºAsuntos!C14+NºAsuntos!E14)/NºAsuntos!G14," - ")</f>
        <v>2.4174757281553396</v>
      </c>
      <c r="AP14" s="1174" t="str">
        <f t="shared" si="2"/>
        <v xml:space="preserve"> - </v>
      </c>
      <c r="AQ14" s="1174" t="str">
        <f>IF(ISNUMBER((H14-W14+K14)/(F14)),(H14-W14+K14)/(F14)," - ")</f>
        <v xml:space="preserve"> - </v>
      </c>
      <c r="AR14" s="1175">
        <f>IF(ISNUMBER((Datos!P14-Datos!Q14)/(Datos!R14-Datos!P14+Datos!Q14)),(Datos!P14-Datos!Q14)/(Datos!R14-Datos!P14+Datos!Q14)," - ")</f>
        <v>2.8708133971291867E-2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73</v>
      </c>
      <c r="G17" s="373">
        <f>IF(ISNUMBER(IF(D_I="SI",Datos!I17,Datos!I17+Datos!AC17)),IF(D_I="SI",Datos!I17,Datos!I17+Datos!AC17)," - ")</f>
        <v>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v>
      </c>
      <c r="X17" s="240">
        <f>IF(ISNUMBER(Datos!Q17),Datos!Q17," - ")</f>
        <v>4</v>
      </c>
      <c r="Y17" s="374">
        <f t="shared" ref="Y17:Y22" si="9">SUM(W17:X17)</f>
        <v>110</v>
      </c>
      <c r="Z17" s="375" t="str">
        <f>IF(ISNUMBER(Datos!CC17),Datos!CC17," - ")</f>
        <v xml:space="preserve"> - </v>
      </c>
      <c r="AA17" s="372">
        <f>IF(ISNUMBER(IF(D_I="SI",Datos!L17,Datos!L17+Datos!AF17)),IF(D_I="SI",Datos!L17,Datos!L17+Datos!AF17)," - ")</f>
        <v>82</v>
      </c>
      <c r="AB17" s="374">
        <f>IF(ISNUMBER(Datos!R17),Datos!R17," - ")</f>
        <v>6</v>
      </c>
      <c r="AC17" s="374">
        <f t="shared" si="8"/>
        <v>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v>
      </c>
      <c r="AJ17" s="245" t="str">
        <f>IF(ISNUMBER(Datos!BW17),Datos!BW17," - ")</f>
        <v xml:space="preserve"> - </v>
      </c>
      <c r="AK17" s="246" t="str">
        <f>IF(ISNUMBER(Datos!BX17),Datos!BX17," - ")</f>
        <v xml:space="preserve"> - </v>
      </c>
      <c r="AL17" s="266">
        <f>IF(ISNUMBER(NºAsuntos!G17/NºAsuntos!E17),NºAsuntos!G17/NºAsuntos!E17," - ")</f>
        <v>0.92173913043478262</v>
      </c>
      <c r="AM17" s="284">
        <f>IF(ISNUMBER(((NºAsuntos!I17/NºAsuntos!G17)*11)/factor_trimestre),((NºAsuntos!I17/NºAsuntos!G17)*11)/factor_trimestre," - ")</f>
        <v>2.3207547169811322</v>
      </c>
      <c r="AN17" s="267">
        <f>IF(ISNUMBER('Resol  Asuntos'!D17/NºAsuntos!G17),'Resol  Asuntos'!D17/NºAsuntos!G17," - ")</f>
        <v>5.6603773584905662E-2</v>
      </c>
      <c r="AO17" s="268">
        <f>IF(ISNUMBER((NºAsuntos!C17+NºAsuntos!E17)/NºAsuntos!G17),(NºAsuntos!C17+NºAsuntos!E17)/NºAsuntos!G17," - ")</f>
        <v>1.7547169811320755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v>
      </c>
      <c r="AN18" s="267">
        <f>IF(ISNUMBER('Resol  Asuntos'!D18/NºAsuntos!G18),'Resol  Asuntos'!D18/NºAsuntos!G18," - ")</f>
        <v>0.33333333333333331</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73</v>
      </c>
      <c r="G23" s="1163">
        <f>SUBTOTAL(9,G16:G22)</f>
        <v>72</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v>
      </c>
      <c r="X23" s="1164">
        <f t="shared" si="14"/>
        <v>4</v>
      </c>
      <c r="Y23" s="1165">
        <f t="shared" si="14"/>
        <v>113</v>
      </c>
      <c r="Z23" s="1165">
        <f t="shared" si="14"/>
        <v>0</v>
      </c>
      <c r="AA23" s="1165">
        <f t="shared" si="14"/>
        <v>83</v>
      </c>
      <c r="AB23" s="1165">
        <f t="shared" si="14"/>
        <v>6</v>
      </c>
      <c r="AC23" s="1165">
        <f t="shared" si="14"/>
        <v>89</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0.92372881355932202</v>
      </c>
      <c r="AM23" s="1171">
        <f>IF(ISNUMBER(((NºAsuntos!I23/NºAsuntos!G23)*11)/factor_trimestre),((NºAsuntos!I23/NºAsuntos!G23)*11)/factor_trimestre," - ")</f>
        <v>2.2844036697247705</v>
      </c>
      <c r="AN23" s="1172">
        <f>IF(ISNUMBER('Resol  Asuntos'!D23/NºAsuntos!G23),'Resol  Asuntos'!D23/NºAsuntos!G23," - ")</f>
        <v>6.4220183486238536E-2</v>
      </c>
      <c r="AO23" s="1173">
        <f>IF(ISNUMBER((NºAsuntos!C23+NºAsuntos!E23)/NºAsuntos!G23),(NºAsuntos!C23+NºAsuntos!E23)/NºAsuntos!G23," - ")</f>
        <v>1.7431192660550459</v>
      </c>
      <c r="AP23" s="1174" t="str">
        <f t="shared" si="2"/>
        <v xml:space="preserve"> - </v>
      </c>
      <c r="AQ23" s="1174">
        <f>IF(ISNUMBER((H23-W23+K23)/(F23)),(H23-W23+K23)/(F23)," - ")</f>
        <v>-1.4931506849315068</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73</v>
      </c>
      <c r="G31" s="1118">
        <f t="shared" si="20"/>
        <v>72</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v>
      </c>
      <c r="X31" s="1118">
        <f t="shared" si="21"/>
        <v>10</v>
      </c>
      <c r="Y31" s="1125">
        <f t="shared" si="21"/>
        <v>119</v>
      </c>
      <c r="Z31" s="1125">
        <f t="shared" si="21"/>
        <v>0</v>
      </c>
      <c r="AA31" s="1125">
        <f t="shared" si="21"/>
        <v>83</v>
      </c>
      <c r="AB31" s="1125">
        <f t="shared" si="21"/>
        <v>436</v>
      </c>
      <c r="AC31" s="1125">
        <f t="shared" si="21"/>
        <v>89</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0.92982456140350878</v>
      </c>
      <c r="AM31" s="1184">
        <f>IF(ISNUMBER(((NºAsuntos!I31/NºAsuntos!G31)*11)/factor_trimestre),((NºAsuntos!I31/NºAsuntos!G31)*11)/factor_trimestre," - ")</f>
        <v>3.2405660377358494</v>
      </c>
      <c r="AN31" s="1184">
        <f>IF(ISNUMBER('Resol  Asuntos'!D31/NºAsuntos!G31),'Resol  Asuntos'!D31/NºAsuntos!G31," - ")</f>
        <v>0.14150943396226415</v>
      </c>
      <c r="AO31" s="1185">
        <f>IF(ISNUMBER((NºAsuntos!C31+NºAsuntos!E31)/NºAsuntos!G31),(NºAsuntos!C31+NºAsuntos!E31)/NºAsuntos!G31," - ")</f>
        <v>2.0707547169811322</v>
      </c>
      <c r="AP31" s="1186" t="str">
        <f t="shared" si="2"/>
        <v xml:space="preserve"> - </v>
      </c>
      <c r="AQ31" s="1187">
        <f>IF(OR(ISNUMBER(FIND("01",Criterios!A8,1)),ISNUMBER(FIND("02",Criterios!A8,1)),ISNUMBER(FIND("03",Criterios!A8,1)),ISNUMBER(FIND("04",Criterios!A8,1))),(I31-W31+K31)/(F31-K31),(H31-W31+K31)/(F31-K31))</f>
        <v>-1.4931506849315068</v>
      </c>
      <c r="AR31" s="1188">
        <f>IF(ISNUMBER((Datos!P31-Datos!Q31)/(Datos!R31-Datos!P31+Datos!Q31)),(Datos!P31-Datos!Q31)/(Datos!R31-Datos!P31+Datos!Q31)," - ")</f>
        <v>2.3474178403755867E-2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37.69703790308553</v>
      </c>
      <c r="G33" s="277">
        <f>IF(ISNUMBER(STDEV(G8:G30)),STDEV(G8:G30),"-")</f>
        <v>34.793951307936382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52.180547369776832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9.9570506247009281</v>
      </c>
      <c r="AJ33" s="276">
        <f t="shared" si="25"/>
        <v>0</v>
      </c>
      <c r="AK33" s="278">
        <f t="shared" si="25"/>
        <v>0</v>
      </c>
      <c r="AL33" s="273">
        <f t="shared" si="25"/>
        <v>3.224299910115893E-2</v>
      </c>
      <c r="AM33" s="274">
        <f t="shared" si="25"/>
        <v>1.4099808959840816</v>
      </c>
      <c r="AN33" s="274">
        <f t="shared" si="25"/>
        <v>0.11820801430855853</v>
      </c>
      <c r="AO33" s="275">
        <f t="shared" si="25"/>
        <v>0.47351685557375378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mGcgVHJWs1OaoA1/e4l0lQKhIR1pgucNWFVYH6LH1whBLdWR8JtKOiCfUeRJTvUKS8uxI546Zh445lmWXn/7Q==" saltValue="x7sIu+abxelAGRNIRbsc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FREGENAL DE LA SIERRA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0.4375</v>
      </c>
      <c r="I12" s="395">
        <f>IF(ISNUMBER((Tasas!C12-Datos!BE12)/Datos!BE12),(Tasas!C12-Datos!BE12)/Datos!BE12," - ")</f>
        <v>-0.15471630889819185</v>
      </c>
      <c r="J12" s="394">
        <f>IF(ISNUMBER((Tasas!D12-Datos!BF12)/Datos!BF12),(Tasas!D12-Datos!BF12)/Datos!BF12," - ")</f>
        <v>-0.51618122977346281</v>
      </c>
      <c r="K12" s="396">
        <f>IF(ISNUMBER((Tasas!E12-Datos!BG12)/Datos!BG12),(Tasas!E12-Datos!BG12)/Datos!BG12," - ")</f>
        <v>-9.1699870924294324E-2</v>
      </c>
      <c r="M12" t="e">
        <f>IF(Monitorios="SI",Datos!CE12,0)</f>
        <v>#REF!</v>
      </c>
      <c r="N12" t="e">
        <f>IF(Monitorios="SI",Datos!CF12,0)</f>
        <v>#REF!</v>
      </c>
      <c r="O12" t="e">
        <f>IF(Monitorios="SI",Datos!CG12,0)</f>
        <v>#REF!</v>
      </c>
      <c r="P12" t="e">
        <f>IF(Monitorios="SI",Datos!CH12,0)</f>
        <v>#REF!</v>
      </c>
      <c r="Q12">
        <f>IF(J_V="SI",0,Datos!AG12)</f>
        <v>2</v>
      </c>
      <c r="R12">
        <f>IF(J_V="SI",0,Datos!AH12)</f>
        <v>3</v>
      </c>
      <c r="S12">
        <f>IF(J_V="SI",0,Datos!AI12)</f>
        <v>4</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0.4375</v>
      </c>
      <c r="I14" s="402">
        <f>IF(ISNUMBER((Tasas!C14-Datos!BE14)/Datos!BE14),(Tasas!C14-Datos!BE14)/Datos!BE14," - ")</f>
        <v>-0.15471630889819185</v>
      </c>
      <c r="J14" s="400">
        <f>IF(ISNUMBER((Tasas!D14-Datos!BF14)/Datos!BF14),(Tasas!D14-Datos!BF14)/Datos!BF14," - ")</f>
        <v>-0.51618122977346281</v>
      </c>
      <c r="K14" s="403">
        <f>IF(ISNUMBER((Tasas!E14-Datos!BG14)/Datos!BG14),(Tasas!E14-Datos!BG14)/Datos!BG14," - ")</f>
        <v>-9.1699870924294324E-2</v>
      </c>
      <c r="M14" t="e">
        <f>IF(Monitorios="SI",Datos!CE14,0)</f>
        <v>#REF!</v>
      </c>
      <c r="N14" t="e">
        <f>IF(Monitorios="SI",Datos!CF14,0)</f>
        <v>#REF!</v>
      </c>
      <c r="O14" t="e">
        <f>IF(Monitorios="SI",Datos!CG14,0)</f>
        <v>#REF!</v>
      </c>
      <c r="P14" t="e">
        <f>IF(Monitorios="SI",Datos!CH14,0)</f>
        <v>#REF!</v>
      </c>
      <c r="Q14">
        <f>IF(J_V="SI",0,Datos!AG14)</f>
        <v>2</v>
      </c>
      <c r="R14">
        <f>IF(J_V="SI",0,Datos!AH14)</f>
        <v>3</v>
      </c>
      <c r="S14">
        <f>IF(J_V="SI",0,Datos!AI14)</f>
        <v>4</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0.14516129032258066</v>
      </c>
      <c r="E17" s="393">
        <f>IF(ISNUMBER(
   IF(D_I="SI",(Datos!J17-Datos!T17)/Datos!T17,(Datos!J17+Datos!AD17-(Datos!T17+Datos!AL17))/(Datos!T17+Datos!AL17))
     ),IF(D_I="SI",(Datos!J17-Datos!T17)/Datos!T17,(Datos!J17+Datos!AD17-(Datos!T17+Datos!AL17))/(Datos!T17+Datos!AL17))," - ")</f>
        <v>-0.10852713178294573</v>
      </c>
      <c r="F17" s="393">
        <f>IF(ISNUMBER(
   IF(D_I="SI",(Datos!K17-Datos!U17)/Datos!U17,(Datos!K17+Datos!AE17-(Datos!U17+Datos!AM17))/(Datos!U17+Datos!AM17))
     ),IF(D_I="SI",(Datos!K17-Datos!U17)/Datos!U17,(Datos!K17+Datos!AE17-(Datos!U17+Datos!AM17))/(Datos!U17+Datos!AM17))," - ")</f>
        <v>-2.7522935779816515E-2</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-0.45454545454545453</v>
      </c>
      <c r="I17" s="395">
        <f>IF(ISNUMBER((Tasas!C17-Datos!BE17)/Datos!BE17),(Tasas!C17-Datos!BE17)/Datos!BE17," - ")</f>
        <v>2.8301886792452841E-2</v>
      </c>
      <c r="J17" s="394">
        <f>IF(ISNUMBER((Tasas!D17-Datos!BF17)/Datos!BF17),(Tasas!D17-Datos!BF17)/Datos!BF17," - ")</f>
        <v>-0.43910806174957118</v>
      </c>
      <c r="K17" s="396">
        <f>IF(ISNUMBER((Tasas!E17-Datos!BG17)/Datos!BG17),(Tasas!E17-Datos!BG17)/Datos!BG17," - ")</f>
        <v>1.3829892324410467E-3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v>
      </c>
      <c r="J18" s="394" t="str">
        <f>IF(ISNUMBER((Tasas!D18-Datos!BF18)/Datos!BF18),(Tasas!D18-Datos!BF18)/Datos!BF18," - ")</f>
        <v xml:space="preserve"> - </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-9.9236641221374045E-2</v>
      </c>
      <c r="F23" s="399">
        <f>IF(ISNUMBER(
   IF(D_I="SI",(Datos!K23-Datos!U23)/Datos!U23,(Datos!K23+Datos!AE23-(Datos!U23+Datos!AM23))/(Datos!U23+Datos!AM23))
     ),IF(D_I="SI",(Datos!K23-Datos!U23)/Datos!U23,(Datos!K23+Datos!AE23-(Datos!U23+Datos!AM23))/(Datos!U23+Datos!AM23))," - ")</f>
        <v>-7.6271186440677971E-2</v>
      </c>
      <c r="G23" s="400">
        <f>IF(ISNUMBER(
   IF(D_I="SI",(Datos!L23-Datos!V23)/Datos!V23,(Datos!L23+Datos!AF23-(Datos!V23+Datos!AN23))/(Datos!V23+Datos!AN23))
     ),IF(D_I="SI",(Datos!L23-Datos!V23)/Datos!V23,(Datos!L23+Datos!AF23-(Datos!V23+Datos!AN23))/(Datos!V23+Datos!AN23))," - ")</f>
        <v>-2.3529411764705882E-2</v>
      </c>
      <c r="H23" s="401">
        <f>IF(ISNUMBER((Datos!M23-Datos!W23)/Datos!W23),(Datos!M23-Datos!W23)/Datos!W23," - ")</f>
        <v>-0.36363636363636365</v>
      </c>
      <c r="I23" s="402">
        <f>IF(ISNUMBER((Tasas!C23-Datos!BE23)/Datos!BE23),(Tasas!C23-Datos!BE23)/Datos!BE23," - ")</f>
        <v>5.7096600107933111E-2</v>
      </c>
      <c r="J23" s="400">
        <f>IF(ISNUMBER((Tasas!D23-Datos!BF23)/Datos!BF23),(Tasas!D23-Datos!BF23)/Datos!BF23," - ")</f>
        <v>-0.31109257714762301</v>
      </c>
      <c r="K23" s="403">
        <f>IF(ISNUMBER((Tasas!E23-Datos!BG23)/Datos!BG23),(Tasas!E23-Datos!BG23)/Datos!BG23," - ")</f>
        <v>1.3241740859583259E-2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0.22674418604651161</v>
      </c>
      <c r="E31" s="409">
        <f>IF(ISNUMBER(
   IF(J_V="SI",(Datos!J31-Datos!T31)/Datos!T31,(Datos!J31+Datos!Z31-(Datos!T31+Datos!AH31))/(Datos!T31+Datos!AH31))
     ),IF(J_V="SI",(Datos!J31-Datos!T31)/Datos!T31,(Datos!J31+Datos!Z31-(Datos!T31+Datos!AH31))/(Datos!T31+Datos!AH31))," - ")</f>
        <v>0.11764705882352941</v>
      </c>
      <c r="F31" s="409">
        <f>IF(ISNUMBER(
   IF(J_V="SI",(Datos!K31-Datos!U31)/Datos!U31,(Datos!K31+Datos!AA31-(Datos!U31+Datos!AI31))/(Datos!U31+Datos!AI31))
     ),IF(J_V="SI",(Datos!K31-Datos!U31)/Datos!U31,(Datos!K31+Datos!AA31-(Datos!U31+Datos!AI31))/(Datos!U31+Datos!AI31))," - ")</f>
        <v>0.15846994535519127</v>
      </c>
      <c r="G31" s="410">
        <f>IF(ISNUMBER(
   IF(J_V="SI",(Datos!L31-Datos!V31)/Datos!V31,(Datos!L31+Datos!AB31-(Datos!V31+Datos!AJ31))/(Datos!V31+Datos!AJ31))
     ),IF(J_V="SI",(Datos!L31-Datos!V31)/Datos!V31,(Datos!L31+Datos!AB31-(Datos!V31+Datos!AJ31))/(Datos!V31+Datos!AJ31))," - ")</f>
        <v>0.18041237113402062</v>
      </c>
      <c r="H31" s="411">
        <f>IF(ISNUMBER((Datos!M31-Datos!W31)/Datos!W31),(Datos!M31-Datos!W31)/Datos!W31," - ")</f>
        <v>0.1111111111111111</v>
      </c>
      <c r="I31" s="408">
        <f>IF(ISNUMBER((Tasas!C31-Datos!BE31)/Datos!BE31),(Tasas!C31-Datos!BE31)/Datos!BE31," - ")</f>
        <v>1.8940867535498902E-2</v>
      </c>
      <c r="J31" s="409">
        <f>IF(ISNUMBER((Tasas!D31-Datos!BF31)/Datos!BF31),(Tasas!D31-Datos!BF31)/Datos!BF31," - ")</f>
        <v>-0.3683847215830649</v>
      </c>
      <c r="K31" s="410">
        <f>IF(ISNUMBER((Tasas!E31-Datos!BG31)/Datos!BG31),(Tasas!E31-Datos!BG31)/Datos!BG31," - ")</f>
        <v>7.8407266158169852E-3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0.56619106359909965</v>
      </c>
      <c r="E33" s="303">
        <f t="shared" si="1"/>
        <v>0.34868231374541281</v>
      </c>
      <c r="F33" s="303">
        <f t="shared" si="1"/>
        <v>0.35577331822049568</v>
      </c>
      <c r="G33" s="304">
        <f t="shared" si="1"/>
        <v>0.37829080663454034</v>
      </c>
      <c r="H33" s="310">
        <f t="shared" si="1"/>
        <v>0.49018649470051384</v>
      </c>
      <c r="I33" s="302">
        <f t="shared" si="1"/>
        <v>0.1023438232830815</v>
      </c>
      <c r="J33" s="303">
        <f t="shared" si="1"/>
        <v>9.6777761576078494E-2</v>
      </c>
      <c r="K33" s="304">
        <f t="shared" si="1"/>
        <v>5.3145997254234016E-2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Ax1cq5iqXFWmAo4gNGlNaDtul7yBdz3ghjK0bFLTsAIjA51XJW/s8a2B1LtzEyG25y5kw71U1seGhrFwbqX8g==" saltValue="tuoyKYYl058KIlq5I6Wm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